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3.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G:\Environmental\Darren\sewers\"/>
    </mc:Choice>
  </mc:AlternateContent>
  <bookViews>
    <workbookView xWindow="0" yWindow="0" windowWidth="25200" windowHeight="11985" tabRatio="829" firstSheet="1" activeTab="2"/>
  </bookViews>
  <sheets>
    <sheet name="DropDownList" sheetId="18" state="hidden" r:id="rId1"/>
    <sheet name="Intro " sheetId="20" r:id="rId2"/>
    <sheet name="Site Evaluation" sheetId="11" r:id="rId3"/>
    <sheet name="soils" sheetId="12" r:id="rId4"/>
    <sheet name="Site Map" sheetId="13" r:id="rId5"/>
    <sheet name="PercTest" sheetId="8" r:id="rId6"/>
    <sheet name="Trench or Bed" sheetId="15" r:id="rId7"/>
    <sheet name="Mound &lt;1%" sheetId="6" r:id="rId8"/>
    <sheet name="Mound&gt;1%" sheetId="5" r:id="rId9"/>
    <sheet name="AtGrade" sheetId="24" r:id="rId10"/>
    <sheet name="PresDist " sheetId="9" r:id="rId11"/>
    <sheet name="Pump" sheetId="10" r:id="rId12"/>
    <sheet name="Non-Level" sheetId="7" r:id="rId13"/>
    <sheet name="Dosing" sheetId="4" r:id="rId14"/>
    <sheet name="Summary Sheet" sheetId="23" r:id="rId15"/>
  </sheets>
  <externalReferences>
    <externalReference r:id="rId16"/>
    <externalReference r:id="rId17"/>
    <externalReference r:id="rId18"/>
  </externalReferences>
  <definedNames>
    <definedName name="Absorb">DropDownList!$O$4:$O$10</definedName>
    <definedName name="adults">DropDownList!$C$2:$C$12</definedName>
    <definedName name="AtGradeDown">'[1]Drop-Down Lists'!$H$2:$H$27</definedName>
    <definedName name="AtGradeUp">'[1]Drop-Down Lists'!$G$2:$G$27</definedName>
    <definedName name="bedrooms">DropDownList!$B$2:$B$13</definedName>
    <definedName name="children">DropDownList!$D$2:$D$13</definedName>
    <definedName name="CLR">'[1]Drop-Down Lists'!$G$30:$G$49</definedName>
    <definedName name="CoarseFragments">'[2]Drop-Down Lists'!$J$43:$J$45</definedName>
    <definedName name="DepthAlarm">'[1]Drop-Down Lists'!$B$27:$B$28</definedName>
    <definedName name="DepthPipe">'[1]Drop-Down Lists'!$D$38:$D$39</definedName>
    <definedName name="Diam">DropDownList!$S$4:$S$7</definedName>
    <definedName name="DispersalMedia">'[1]Drop-Down Lists'!$J$2:$J$3</definedName>
    <definedName name="DistHeadLoss">'[1]Drop-Down Lists'!$E$41:$E$44</definedName>
    <definedName name="downslope">DropDownList!$P$30:$P$43</definedName>
    <definedName name="EffScreen">'[3]Drop-Down Lists'!$D$30:$D$31</definedName>
    <definedName name="headreq">DropDownList!$K$3:$K$5</definedName>
    <definedName name="Hue">'[2]Drop-Down Lists'!$D$47:$D$56</definedName>
    <definedName name="Laterals">'[1]Drop-Down Lists'!$K$2:$K$21</definedName>
    <definedName name="llr">DropDownList!$L$28:$L$35</definedName>
    <definedName name="media">'[1]Drop-Down Lists'!$D$47:$D$49</definedName>
    <definedName name="mediabp">DropDownList!$V$4:$V$7</definedName>
    <definedName name="mediabps">DropDownList!$V$3:$V$7</definedName>
    <definedName name="MediaDepth">'[1]Drop-Down Lists'!$J$25:$J$27</definedName>
    <definedName name="MediaLoadRate">'[1]Drop-Down Lists'!$D$42:$D$43</definedName>
    <definedName name="MinHead">'[1]Drop-Down Lists'!$C$38:$C$40</definedName>
    <definedName name="MoundAbsorptionRatio">'[2]Drop-Down Lists'!$J$17:$J$30</definedName>
    <definedName name="nssf">DropDownList!$Y$4:$Y$10</definedName>
    <definedName name="ObservationType">'[2]Drop-Down Lists'!$B$47:$B$49</definedName>
    <definedName name="Perf">DropDownList!$R$4:$R$9</definedName>
    <definedName name="PerfDia">'[1]Drop-Down Lists'!$D$24:$D$27</definedName>
    <definedName name="perfgpm">DropDownList!$U$4:$U$13</definedName>
    <definedName name="PerfSpace">'[1]Drop-Down Lists'!$B$39:$B$41</definedName>
    <definedName name="piped">DropDownList!$X$4:$X$8</definedName>
    <definedName name="PipeDia" localSheetId="1">'[1]Drop-Down Lists'!$I$2:$I$8</definedName>
    <definedName name="pipedia">DropDownList!$L$3:$L$6</definedName>
    <definedName name="_xlnm.Print_Area" localSheetId="9">AtGrade!$A$1:$J$113,AtGrade!$L$1:$V$56</definedName>
    <definedName name="_xlnm.Print_Area" localSheetId="13">Dosing!$A$1:$I$94</definedName>
    <definedName name="_xlnm.Print_Area" localSheetId="1">'Intro '!$A$1:$K$40</definedName>
    <definedName name="_xlnm.Print_Area" localSheetId="7">'Mound &lt;1%'!$A$1:$J$168,'Mound &lt;1%'!$K$2:$U$58</definedName>
    <definedName name="_xlnm.Print_Area" localSheetId="8">'Mound&gt;1%'!$A$1:$J$173,'Mound&gt;1%'!$K$1:$R$53</definedName>
    <definedName name="_xlnm.Print_Area" localSheetId="12">'Non-Level'!$A$1:$O$166</definedName>
    <definedName name="_xlnm.Print_Area" localSheetId="5">PercTest!$A$1:$I$52</definedName>
    <definedName name="_xlnm.Print_Area" localSheetId="10">'PresDist '!$A$1:$L$75</definedName>
    <definedName name="_xlnm.Print_Area" localSheetId="11">Pump!$A$1:$J$62</definedName>
    <definedName name="_xlnm.Print_Area" localSheetId="2">'Site Evaluation'!$A:$K</definedName>
    <definedName name="_xlnm.Print_Area" localSheetId="4">'Site Map'!$A$1:$AK$66</definedName>
    <definedName name="_xlnm.Print_Area" localSheetId="3">soils!$A$1:$J$31</definedName>
    <definedName name="_xlnm.Print_Area" localSheetId="14">'Summary Sheet'!$A$1:$I$91</definedName>
    <definedName name="_xlnm.Print_Area" localSheetId="6">'Trench or Bed'!$A$1:$K$122</definedName>
    <definedName name="PumpTankDesc">'[2]Drop-Down Lists'!$J$53:$J$58</definedName>
    <definedName name="PumpType">'[2]Drop-Down Lists'!$B$52:$B$53</definedName>
    <definedName name="Sandy_Soil_Options">'[2]Drop-Down Lists'!$J$48:$J$50</definedName>
    <definedName name="septic">DropDownList!$T$4:$T$10</definedName>
    <definedName name="septictank">DropDownList!$T$3:$T$10</definedName>
    <definedName name="SHLR">'[1]Drop-Down Lists'!$C$28:$C$35</definedName>
    <definedName name="SizeMult">'[1]Drop-Down Lists'!$C$43:$C$44</definedName>
    <definedName name="Slope" localSheetId="1">'[1]Drop-Down Lists'!$A$2:$A$32</definedName>
    <definedName name="slope">DropDownList!$H$2:$H$28</definedName>
    <definedName name="soiltexture">DropDownList!$E$2:$E$14</definedName>
    <definedName name="SoilTexture7080">'[1]Drop-Down Lists'!$B$2:$B$20</definedName>
    <definedName name="SSF">DropDownList!$Q$4:$Q$10</definedName>
    <definedName name="time">DropDownList!$G$4:$G$6</definedName>
    <definedName name="upslope">DropDownList!$O$30:$O$43</definedName>
    <definedName name="ValueChroma">'[2]Drop-Down Lists'!$E$46:$E$86</definedName>
    <definedName name="vlpipe">DropDownList!$W$4:$W$11</definedName>
    <definedName name="YNOptional">'[1]Drop-Down Lists'!$I$33:$I$35</definedName>
  </definedNames>
  <calcPr calcId="152511"/>
</workbook>
</file>

<file path=xl/calcChain.xml><?xml version="1.0" encoding="utf-8"?>
<calcChain xmlns="http://schemas.openxmlformats.org/spreadsheetml/2006/main">
  <c r="C64" i="23" l="1"/>
  <c r="E84" i="23"/>
  <c r="E22" i="5"/>
  <c r="E21" i="6"/>
  <c r="E69" i="11"/>
  <c r="I81" i="15"/>
  <c r="I85" i="15"/>
  <c r="J62" i="15"/>
  <c r="I10" i="8"/>
  <c r="C52" i="23" l="1"/>
  <c r="K74" i="9"/>
  <c r="K73" i="9"/>
  <c r="G2" i="23"/>
  <c r="G2" i="4"/>
  <c r="I2" i="7"/>
  <c r="H2" i="9"/>
  <c r="F2" i="24"/>
  <c r="F2" i="12"/>
  <c r="G2" i="10"/>
  <c r="I58" i="15"/>
  <c r="I54" i="15"/>
  <c r="I50" i="15"/>
  <c r="I46" i="15"/>
  <c r="H2" i="15" l="1"/>
  <c r="G2" i="5"/>
  <c r="G2" i="6"/>
  <c r="G2" i="8"/>
  <c r="N51" i="13"/>
  <c r="H48" i="23"/>
  <c r="D11" i="24"/>
  <c r="D20" i="24" l="1"/>
  <c r="D19" i="24"/>
  <c r="B27" i="24" s="1"/>
  <c r="D18" i="24"/>
  <c r="D27" i="24" s="1"/>
  <c r="D17" i="24"/>
  <c r="D12" i="24"/>
  <c r="D10" i="24"/>
  <c r="C6" i="24"/>
  <c r="B81" i="24" s="1"/>
  <c r="D40" i="24"/>
  <c r="D57" i="24" s="1"/>
  <c r="A34" i="24"/>
  <c r="A17" i="24"/>
  <c r="A18" i="24" s="1"/>
  <c r="A19" i="24" s="1"/>
  <c r="A20" i="24" s="1"/>
  <c r="A21" i="24" s="1"/>
  <c r="H64" i="23"/>
  <c r="H26" i="23"/>
  <c r="G36" i="24" l="1"/>
  <c r="B40" i="24" s="1"/>
  <c r="F40" i="24" s="1"/>
  <c r="B85" i="24" s="1"/>
  <c r="F85" i="24" s="1"/>
  <c r="G53" i="24"/>
  <c r="B57" i="24" s="1"/>
  <c r="F57" i="24" s="1"/>
  <c r="D81" i="24"/>
  <c r="F81" i="24" s="1"/>
  <c r="F27" i="24"/>
  <c r="C60" i="23"/>
  <c r="S20" i="18"/>
  <c r="C26" i="15"/>
  <c r="D29" i="10"/>
  <c r="H52" i="4" s="1"/>
  <c r="B91" i="24" l="1"/>
  <c r="C50" i="23"/>
  <c r="Q38" i="24"/>
  <c r="C48" i="23"/>
  <c r="C61" i="24"/>
  <c r="E61" i="24" s="1"/>
  <c r="C65" i="24" s="1"/>
  <c r="F44" i="24"/>
  <c r="C48" i="24" s="1"/>
  <c r="D91" i="24"/>
  <c r="D85" i="24"/>
  <c r="H85" i="24" s="1"/>
  <c r="D69" i="24"/>
  <c r="Q10" i="24"/>
  <c r="Q46" i="24"/>
  <c r="D44" i="24"/>
  <c r="F69" i="24"/>
  <c r="Q11" i="24"/>
  <c r="K18" i="18"/>
  <c r="F8" i="5"/>
  <c r="D7" i="5"/>
  <c r="F7" i="6"/>
  <c r="D6" i="6"/>
  <c r="J1" i="11"/>
  <c r="F1" i="24" s="1"/>
  <c r="H69" i="11"/>
  <c r="I26" i="15" s="1"/>
  <c r="E50" i="4"/>
  <c r="F53" i="7"/>
  <c r="D12" i="15"/>
  <c r="D15" i="5"/>
  <c r="J10" i="15" s="1"/>
  <c r="D14" i="5"/>
  <c r="D14" i="6"/>
  <c r="D13" i="6"/>
  <c r="D10" i="8"/>
  <c r="C37" i="8"/>
  <c r="C30" i="15"/>
  <c r="C28" i="15"/>
  <c r="E66" i="15" s="1"/>
  <c r="I66" i="15" s="1"/>
  <c r="C6" i="15"/>
  <c r="F91" i="24" l="1"/>
  <c r="B96" i="24" s="1"/>
  <c r="D96" i="24" s="1"/>
  <c r="D100" i="24" s="1"/>
  <c r="F100" i="24" s="1"/>
  <c r="D103" i="24" s="1"/>
  <c r="F103" i="24" s="1"/>
  <c r="Q5" i="24"/>
  <c r="H50" i="23"/>
  <c r="Q22" i="24"/>
  <c r="H54" i="23"/>
  <c r="E24" i="6"/>
  <c r="E25" i="5"/>
  <c r="D21" i="24"/>
  <c r="C73" i="24"/>
  <c r="N50" i="24"/>
  <c r="N10" i="24"/>
  <c r="B77" i="24"/>
  <c r="T10" i="24"/>
  <c r="D10" i="15"/>
  <c r="F59" i="7"/>
  <c r="B22" i="7"/>
  <c r="N31" i="7" s="1"/>
  <c r="D41" i="7" s="1"/>
  <c r="B46" i="4"/>
  <c r="D84" i="4" s="1"/>
  <c r="F84" i="4" s="1"/>
  <c r="E23" i="6"/>
  <c r="E24" i="5"/>
  <c r="E25" i="6"/>
  <c r="E26" i="5"/>
  <c r="E88" i="5" s="1"/>
  <c r="H59" i="11"/>
  <c r="E22" i="6"/>
  <c r="D4" i="8"/>
  <c r="B50" i="5"/>
  <c r="E23" i="5"/>
  <c r="D6" i="8"/>
  <c r="E37" i="8"/>
  <c r="C46" i="15"/>
  <c r="E46" i="15"/>
  <c r="C50" i="15"/>
  <c r="E50" i="15"/>
  <c r="C54" i="15"/>
  <c r="E54" i="15"/>
  <c r="C58" i="15"/>
  <c r="E58" i="15"/>
  <c r="D62" i="15"/>
  <c r="G62" i="15"/>
  <c r="C66" i="15"/>
  <c r="C81" i="15"/>
  <c r="E81" i="15"/>
  <c r="C85" i="15"/>
  <c r="E85" i="15"/>
  <c r="C94" i="15"/>
  <c r="E94" i="15"/>
  <c r="D41" i="10"/>
  <c r="E48" i="10" s="1"/>
  <c r="C48" i="10"/>
  <c r="B54" i="10"/>
  <c r="D54" i="10"/>
  <c r="G24" i="9"/>
  <c r="D42" i="9"/>
  <c r="A37" i="8"/>
  <c r="A38" i="8" s="1"/>
  <c r="A39" i="8" s="1"/>
  <c r="A40" i="8" s="1"/>
  <c r="A41" i="8" s="1"/>
  <c r="A42" i="8" s="1"/>
  <c r="A43" i="8" s="1"/>
  <c r="C38" i="8"/>
  <c r="E38" i="8" s="1"/>
  <c r="C39" i="8"/>
  <c r="E39" i="8"/>
  <c r="F39" i="8" s="1"/>
  <c r="C40" i="8"/>
  <c r="E40" i="8" s="1"/>
  <c r="F40" i="8" s="1"/>
  <c r="C41" i="8"/>
  <c r="E41" i="8" s="1"/>
  <c r="C42" i="8"/>
  <c r="E42" i="8" s="1"/>
  <c r="C43" i="8"/>
  <c r="E43" i="8"/>
  <c r="F43" i="8" s="1"/>
  <c r="G16" i="7"/>
  <c r="I16" i="7"/>
  <c r="D31" i="7"/>
  <c r="J36" i="7" s="1"/>
  <c r="D32" i="7"/>
  <c r="L32" i="7" s="1"/>
  <c r="D33" i="7"/>
  <c r="E33" i="7" s="1"/>
  <c r="H33" i="7" s="1"/>
  <c r="D34" i="7"/>
  <c r="E34" i="7" s="1"/>
  <c r="H34" i="7" s="1"/>
  <c r="D35" i="7"/>
  <c r="E35" i="7" s="1"/>
  <c r="H35" i="7" s="1"/>
  <c r="D36" i="7"/>
  <c r="E36" i="7" s="1"/>
  <c r="H36" i="7" s="1"/>
  <c r="C53" i="7"/>
  <c r="H53" i="7" s="1"/>
  <c r="C59" i="7" s="1"/>
  <c r="G64" i="7"/>
  <c r="D71" i="7"/>
  <c r="G74" i="7"/>
  <c r="C78" i="7"/>
  <c r="D82" i="7"/>
  <c r="J82" i="7" s="1"/>
  <c r="G86" i="7"/>
  <c r="D94" i="7"/>
  <c r="J94" i="7" s="1"/>
  <c r="G98" i="7"/>
  <c r="D106" i="7"/>
  <c r="J106" i="7" s="1"/>
  <c r="G110" i="7"/>
  <c r="D119" i="7"/>
  <c r="J119" i="7" s="1"/>
  <c r="D123" i="7" s="1"/>
  <c r="I123" i="7" s="1"/>
  <c r="F127" i="7" s="1"/>
  <c r="G123" i="7"/>
  <c r="F147" i="7"/>
  <c r="H147" i="7" s="1"/>
  <c r="K147" i="7"/>
  <c r="M147" i="7"/>
  <c r="N147" i="7" s="1"/>
  <c r="F148" i="7"/>
  <c r="H148" i="7" s="1"/>
  <c r="K148" i="7"/>
  <c r="F149" i="7"/>
  <c r="H149" i="7" s="1"/>
  <c r="K149" i="7"/>
  <c r="F150" i="7"/>
  <c r="H150" i="7" s="1"/>
  <c r="K150" i="7"/>
  <c r="F151" i="7"/>
  <c r="H151" i="7" s="1"/>
  <c r="K151" i="7"/>
  <c r="F152" i="7"/>
  <c r="H152" i="7" s="1"/>
  <c r="K152" i="7"/>
  <c r="B52" i="6"/>
  <c r="C80" i="5"/>
  <c r="C102" i="5"/>
  <c r="G8" i="4"/>
  <c r="F12" i="4"/>
  <c r="C31" i="4"/>
  <c r="D54" i="4"/>
  <c r="F54" i="4"/>
  <c r="C54" i="23" l="1"/>
  <c r="F105" i="24"/>
  <c r="H105" i="24"/>
  <c r="C56" i="23" s="1"/>
  <c r="D77" i="24"/>
  <c r="F77" i="24" s="1"/>
  <c r="L8" i="24" s="1"/>
  <c r="H52" i="23"/>
  <c r="D22" i="15"/>
  <c r="E24" i="15" s="1"/>
  <c r="I24" i="15" s="1"/>
  <c r="D16" i="24"/>
  <c r="Q16" i="24"/>
  <c r="R50" i="24"/>
  <c r="F38" i="8"/>
  <c r="K16" i="7"/>
  <c r="D22" i="7" s="1"/>
  <c r="G22" i="7" s="1"/>
  <c r="G94" i="15"/>
  <c r="C98" i="15" s="1"/>
  <c r="E98" i="15" s="1"/>
  <c r="C102" i="15" s="1"/>
  <c r="E102" i="15" s="1"/>
  <c r="E105" i="15" s="1"/>
  <c r="G1" i="6"/>
  <c r="G1" i="4" s="1"/>
  <c r="G1" i="10"/>
  <c r="G1" i="8"/>
  <c r="G1" i="5"/>
  <c r="F41" i="8"/>
  <c r="G41" i="8" s="1"/>
  <c r="F42" i="8"/>
  <c r="C40" i="23"/>
  <c r="C36" i="23"/>
  <c r="C42" i="23"/>
  <c r="C38" i="23"/>
  <c r="H36" i="23"/>
  <c r="E21" i="5"/>
  <c r="D66" i="5" s="1"/>
  <c r="F66" i="5" s="1"/>
  <c r="C24" i="23" s="1"/>
  <c r="C44" i="23"/>
  <c r="E38" i="5"/>
  <c r="G38" i="5" s="1"/>
  <c r="P11" i="5" s="1"/>
  <c r="G48" i="10"/>
  <c r="F54" i="10" s="1"/>
  <c r="D56" i="10" s="1"/>
  <c r="C62" i="10" s="1"/>
  <c r="C127" i="7"/>
  <c r="I127" i="7" s="1"/>
  <c r="M152" i="7" s="1"/>
  <c r="N152" i="7" s="1"/>
  <c r="C90" i="7"/>
  <c r="I90" i="7" s="1"/>
  <c r="M149" i="7" s="1"/>
  <c r="N149" i="7" s="1"/>
  <c r="D86" i="7"/>
  <c r="I86" i="7" s="1"/>
  <c r="F90" i="7" s="1"/>
  <c r="D134" i="7"/>
  <c r="L36" i="7"/>
  <c r="N36" i="7" s="1"/>
  <c r="D46" i="7" s="1"/>
  <c r="I59" i="7"/>
  <c r="D132" i="7" s="1"/>
  <c r="L35" i="7"/>
  <c r="N35" i="7" s="1"/>
  <c r="D45" i="7" s="1"/>
  <c r="L34" i="7"/>
  <c r="N34" i="7" s="1"/>
  <c r="D44" i="7" s="1"/>
  <c r="E32" i="7"/>
  <c r="H32" i="7" s="1"/>
  <c r="H153" i="7"/>
  <c r="D137" i="7"/>
  <c r="F46" i="4"/>
  <c r="H72" i="23" s="1"/>
  <c r="H54" i="4"/>
  <c r="E59" i="4" s="1"/>
  <c r="E20" i="6"/>
  <c r="D64" i="6" s="1"/>
  <c r="E38" i="6"/>
  <c r="G38" i="6" s="1"/>
  <c r="C33" i="6"/>
  <c r="F33" i="6" s="1"/>
  <c r="C34" i="5"/>
  <c r="G42" i="8"/>
  <c r="G40" i="8"/>
  <c r="G43" i="8"/>
  <c r="G39" i="8"/>
  <c r="C36" i="8"/>
  <c r="E36" i="8" s="1"/>
  <c r="F1" i="12"/>
  <c r="AE51" i="13" s="1"/>
  <c r="H1" i="15" s="1"/>
  <c r="D21" i="4"/>
  <c r="D136" i="7"/>
  <c r="D110" i="7"/>
  <c r="I110" i="7" s="1"/>
  <c r="F114" i="7" s="1"/>
  <c r="D135" i="7"/>
  <c r="D98" i="7"/>
  <c r="I98" i="7" s="1"/>
  <c r="F102" i="7" s="1"/>
  <c r="L33" i="7"/>
  <c r="N33" i="7" s="1"/>
  <c r="D43" i="7" s="1"/>
  <c r="J34" i="7"/>
  <c r="J32" i="7"/>
  <c r="N32" i="7" s="1"/>
  <c r="D42" i="7" s="1"/>
  <c r="C114" i="7"/>
  <c r="I114" i="7" s="1"/>
  <c r="M151" i="7" s="1"/>
  <c r="N151" i="7" s="1"/>
  <c r="J35" i="7"/>
  <c r="J33" i="7"/>
  <c r="C102" i="7"/>
  <c r="I102" i="7" s="1"/>
  <c r="M150" i="7" s="1"/>
  <c r="N150" i="7" s="1"/>
  <c r="H6" i="23" l="1"/>
  <c r="B131" i="5"/>
  <c r="E43" i="6"/>
  <c r="I1" i="7"/>
  <c r="G1" i="23"/>
  <c r="C59" i="4"/>
  <c r="G59" i="4" s="1"/>
  <c r="B64" i="4" s="1"/>
  <c r="G21" i="4"/>
  <c r="C72" i="23"/>
  <c r="O19" i="6"/>
  <c r="F64" i="6"/>
  <c r="C12" i="23" s="1"/>
  <c r="G105" i="15"/>
  <c r="H1" i="9"/>
  <c r="D58" i="5"/>
  <c r="B49" i="9"/>
  <c r="N35" i="5"/>
  <c r="C71" i="5"/>
  <c r="E71" i="5" s="1"/>
  <c r="C26" i="23" s="1"/>
  <c r="N37" i="5"/>
  <c r="D64" i="7"/>
  <c r="I64" i="7" s="1"/>
  <c r="G106" i="7" s="1"/>
  <c r="E94" i="6"/>
  <c r="F104" i="6"/>
  <c r="D52" i="6"/>
  <c r="F52" i="6" s="1"/>
  <c r="H20" i="23" s="1"/>
  <c r="E79" i="6"/>
  <c r="P37" i="6"/>
  <c r="E126" i="6"/>
  <c r="P21" i="6"/>
  <c r="E42" i="5"/>
  <c r="C88" i="5"/>
  <c r="G88" i="5" s="1"/>
  <c r="C30" i="23" s="1"/>
  <c r="E109" i="5"/>
  <c r="D50" i="5"/>
  <c r="F50" i="5" s="1"/>
  <c r="O38" i="5"/>
  <c r="D136" i="5"/>
  <c r="F34" i="5"/>
  <c r="C163" i="5" s="1"/>
  <c r="G163" i="5" s="1"/>
  <c r="C167" i="5" s="1"/>
  <c r="E167" i="5" s="1"/>
  <c r="C171" i="5" s="1"/>
  <c r="F171" i="5" s="1"/>
  <c r="C6" i="23" l="1"/>
  <c r="F69" i="4"/>
  <c r="D80" i="4" s="1"/>
  <c r="C74" i="23"/>
  <c r="E80" i="5"/>
  <c r="G80" i="5" s="1"/>
  <c r="C28" i="23" s="1"/>
  <c r="C43" i="6"/>
  <c r="G43" i="6" s="1"/>
  <c r="C94" i="5"/>
  <c r="C69" i="6"/>
  <c r="E69" i="6" s="1"/>
  <c r="C14" i="23" s="1"/>
  <c r="D104" i="6"/>
  <c r="I104" i="6" s="1"/>
  <c r="C20" i="23" s="1"/>
  <c r="P40" i="5"/>
  <c r="H69" i="4"/>
  <c r="E37" i="4"/>
  <c r="G37" i="4" s="1"/>
  <c r="E31" i="4"/>
  <c r="G31" i="4" s="1"/>
  <c r="C76" i="23" s="1"/>
  <c r="D64" i="4"/>
  <c r="F64" i="4" s="1"/>
  <c r="H74" i="23" s="1"/>
  <c r="C156" i="6"/>
  <c r="G156" i="6" s="1"/>
  <c r="C162" i="6" s="1"/>
  <c r="E162" i="6" s="1"/>
  <c r="C167" i="6" s="1"/>
  <c r="F167" i="6" s="1"/>
  <c r="G71" i="7"/>
  <c r="J71" i="7" s="1"/>
  <c r="D74" i="7" s="1"/>
  <c r="I74" i="7" s="1"/>
  <c r="F78" i="7" s="1"/>
  <c r="D75" i="4"/>
  <c r="E94" i="5"/>
  <c r="G94" i="7"/>
  <c r="G119" i="7"/>
  <c r="G82" i="7"/>
  <c r="O16" i="6"/>
  <c r="C84" i="6"/>
  <c r="D57" i="6"/>
  <c r="R38" i="6" s="1"/>
  <c r="B58" i="5"/>
  <c r="F58" i="5" s="1"/>
  <c r="C32" i="23" s="1"/>
  <c r="C42" i="5"/>
  <c r="G42" i="5" s="1"/>
  <c r="F37" i="8"/>
  <c r="G37" i="8" s="1"/>
  <c r="G38" i="8"/>
  <c r="C8" i="23" l="1"/>
  <c r="C126" i="6"/>
  <c r="C131" i="6"/>
  <c r="C121" i="6"/>
  <c r="B75" i="4"/>
  <c r="C78" i="23"/>
  <c r="F75" i="4"/>
  <c r="H76" i="23"/>
  <c r="G114" i="5"/>
  <c r="R12" i="5" s="1"/>
  <c r="M38" i="5"/>
  <c r="C114" i="5"/>
  <c r="N12" i="5" s="1"/>
  <c r="G94" i="5"/>
  <c r="C74" i="6"/>
  <c r="E74" i="6" s="1"/>
  <c r="C16" i="23" s="1"/>
  <c r="P15" i="5"/>
  <c r="E99" i="6"/>
  <c r="C109" i="5"/>
  <c r="Q7" i="5" s="1"/>
  <c r="D131" i="5"/>
  <c r="S42" i="6"/>
  <c r="P38" i="6"/>
  <c r="D133" i="7"/>
  <c r="D139" i="7" s="1"/>
  <c r="E114" i="5"/>
  <c r="C17" i="9"/>
  <c r="I78" i="7"/>
  <c r="M148" i="7" s="1"/>
  <c r="N148" i="7" s="1"/>
  <c r="Q22" i="6"/>
  <c r="P12" i="5"/>
  <c r="B136" i="5" l="1"/>
  <c r="H24" i="23"/>
  <c r="H75" i="4"/>
  <c r="B80" i="4" s="1"/>
  <c r="F80" i="4" s="1"/>
  <c r="H78" i="23" s="1"/>
  <c r="E102" i="5"/>
  <c r="G102" i="5" s="1"/>
  <c r="G104" i="5" s="1"/>
  <c r="H28" i="23" s="1"/>
  <c r="B140" i="5"/>
  <c r="C79" i="6"/>
  <c r="G79" i="6"/>
  <c r="I114" i="5"/>
  <c r="E121" i="6"/>
  <c r="E131" i="6"/>
  <c r="E89" i="6"/>
  <c r="E17" i="9"/>
  <c r="E24" i="9" s="1"/>
  <c r="I24" i="9" s="1"/>
  <c r="C62" i="23" s="1"/>
  <c r="D49" i="9"/>
  <c r="F49" i="9" s="1"/>
  <c r="C68" i="23" s="1"/>
  <c r="G116" i="5" l="1"/>
  <c r="H32" i="23"/>
  <c r="I79" i="6"/>
  <c r="P20" i="5"/>
  <c r="B53" i="9"/>
  <c r="F131" i="5"/>
  <c r="F140" i="5" s="1"/>
  <c r="G109" i="5"/>
  <c r="B36" i="9"/>
  <c r="E36" i="9" s="1"/>
  <c r="D140" i="5"/>
  <c r="P38" i="5"/>
  <c r="B42" i="9" l="1"/>
  <c r="F42" i="9" s="1"/>
  <c r="K72" i="9"/>
  <c r="E84" i="6"/>
  <c r="G84" i="6" s="1"/>
  <c r="H12" i="23" s="1"/>
  <c r="C18" i="23"/>
  <c r="H131" i="5"/>
  <c r="F136" i="5"/>
  <c r="H136" i="5" s="1"/>
  <c r="I109" i="5"/>
  <c r="H30" i="23" s="1"/>
  <c r="O18" i="5"/>
  <c r="H140" i="5"/>
  <c r="D53" i="9" l="1"/>
  <c r="F53" i="9" s="1"/>
  <c r="H60" i="23" s="1"/>
  <c r="C66" i="23"/>
  <c r="C60" i="9"/>
  <c r="H60" i="9" s="1"/>
  <c r="H62" i="23" s="1"/>
  <c r="C89" i="6"/>
  <c r="G89" i="6" s="1"/>
  <c r="H14" i="23" s="1"/>
  <c r="C94" i="6"/>
  <c r="G94" i="6" s="1"/>
  <c r="H142" i="5"/>
  <c r="C147" i="5" s="1"/>
  <c r="E147" i="5" s="1"/>
  <c r="C152" i="5" s="1"/>
  <c r="E152" i="5" s="1"/>
  <c r="C156" i="5" s="1"/>
  <c r="E156" i="5" s="1"/>
  <c r="L13" i="5"/>
  <c r="E116" i="5"/>
  <c r="E15" i="10" l="1"/>
  <c r="F61" i="10" s="1"/>
  <c r="I16" i="15" s="1"/>
  <c r="D16" i="15" s="1"/>
  <c r="P32" i="6"/>
  <c r="C99" i="6"/>
  <c r="G99" i="6" s="1"/>
  <c r="P43" i="6"/>
  <c r="I94" i="6"/>
  <c r="H16" i="23" s="1"/>
  <c r="M37" i="6" l="1"/>
  <c r="E106" i="6"/>
  <c r="L40" i="6"/>
  <c r="I99" i="6"/>
  <c r="H18" i="23" s="1"/>
  <c r="N21" i="6"/>
  <c r="U37" i="6"/>
  <c r="S21" i="6"/>
  <c r="G106" i="6" l="1"/>
  <c r="Q47" i="6"/>
  <c r="G121" i="6"/>
  <c r="I121" i="6" l="1"/>
  <c r="G126" i="6"/>
  <c r="I126" i="6" s="1"/>
  <c r="G131" i="6"/>
  <c r="I131" i="6" s="1"/>
  <c r="I133" i="6" l="1"/>
  <c r="D138" i="6" s="1"/>
  <c r="F138" i="6" s="1"/>
  <c r="D143" i="6" s="1"/>
  <c r="F143" i="6" s="1"/>
  <c r="D147" i="6" s="1"/>
  <c r="F147" i="6" s="1"/>
</calcChain>
</file>

<file path=xl/sharedStrings.xml><?xml version="1.0" encoding="utf-8"?>
<sst xmlns="http://schemas.openxmlformats.org/spreadsheetml/2006/main" count="1500" uniqueCount="859">
  <si>
    <t>gallons</t>
  </si>
  <si>
    <t>x 0.75 =</t>
  </si>
  <si>
    <t xml:space="preserve">Daily flow  x  0 .75  =  </t>
  </si>
  <si>
    <t>Calculate reserve capacity (75% of the daily flow)</t>
  </si>
  <si>
    <t>Recommended</t>
  </si>
  <si>
    <t>in</t>
  </si>
  <si>
    <t>gal/in    =</t>
  </si>
  <si>
    <t>gallons /</t>
  </si>
  <si>
    <t xml:space="preserve">9.  </t>
  </si>
  <si>
    <t>gal</t>
  </si>
  <si>
    <t>gal   =</t>
  </si>
  <si>
    <t>gal  +</t>
  </si>
  <si>
    <t>gal     +</t>
  </si>
  <si>
    <t>8.</t>
  </si>
  <si>
    <t>gal/in        =</t>
  </si>
  <si>
    <t>in   x</t>
  </si>
  <si>
    <t>7.</t>
  </si>
  <si>
    <t>inch</t>
  </si>
  <si>
    <t xml:space="preserve">gal/in  = </t>
  </si>
  <si>
    <t>gal     /</t>
  </si>
  <si>
    <t>gallons =</t>
  </si>
  <si>
    <t>gallons +</t>
  </si>
  <si>
    <t>gal/ft(5B2) =</t>
  </si>
  <si>
    <t>ft (5B1)  x</t>
  </si>
  <si>
    <t xml:space="preserve">     3.  Drainback quantity = </t>
  </si>
  <si>
    <t xml:space="preserve">     2.  Determine liquid volume of pipe, </t>
  </si>
  <si>
    <t>ft</t>
  </si>
  <si>
    <t xml:space="preserve">     1.  Determine total pipe length</t>
  </si>
  <si>
    <t>B.  Calculate drainback</t>
  </si>
  <si>
    <t>inches</t>
  </si>
  <si>
    <t>Liquid per foot</t>
  </si>
  <si>
    <t>Pipe Diameter</t>
  </si>
  <si>
    <t>E-20 Volume of Liquid in Pipe</t>
  </si>
  <si>
    <t>doses/day  =</t>
  </si>
  <si>
    <t xml:space="preserve"> gpd    /</t>
  </si>
  <si>
    <t>gal/in  =</t>
  </si>
  <si>
    <t>(</t>
  </si>
  <si>
    <t>4.</t>
  </si>
  <si>
    <t xml:space="preserve"> in     x</t>
  </si>
  <si>
    <t xml:space="preserve">             =</t>
  </si>
  <si>
    <t>or Alternating Pumps</t>
  </si>
  <si>
    <t>A.  Depth from bottom of inlet pipe to tank bottom   =</t>
  </si>
  <si>
    <t xml:space="preserve">100% the daily flow </t>
  </si>
  <si>
    <t>500 gallons or</t>
  </si>
  <si>
    <t>Legal Tank:</t>
  </si>
  <si>
    <t>gallon per inch</t>
  </si>
  <si>
    <t xml:space="preserve">Surface area x 7.5 / 12 = </t>
  </si>
  <si>
    <t>times the conversion factor and divide by 12 inches per foot to calculate gallon per inch.</t>
  </si>
  <si>
    <t>There are 7.5 gallons per cubic foot of volume, therefore multiply the area (1A, B or C)</t>
  </si>
  <si>
    <t>Calculate gallons per inch</t>
  </si>
  <si>
    <t xml:space="preserve">2. </t>
  </si>
  <si>
    <t>C.  Get area from manufacture</t>
  </si>
  <si>
    <t xml:space="preserve"> 3.14    x</t>
  </si>
  <si>
    <t>ft    =</t>
  </si>
  <si>
    <t>ft    x</t>
  </si>
  <si>
    <t>A.  Rectangle area = L x W</t>
  </si>
  <si>
    <t>Determine area</t>
  </si>
  <si>
    <t>1.</t>
  </si>
  <si>
    <t>Loam</t>
  </si>
  <si>
    <t>mpi</t>
  </si>
  <si>
    <t>tons</t>
  </si>
  <si>
    <t>tons x 1.1 =</t>
  </si>
  <si>
    <t xml:space="preserve">Add 10% for Constructability </t>
  </si>
  <si>
    <t>3.</t>
  </si>
  <si>
    <t>2.</t>
  </si>
  <si>
    <t>=</t>
  </si>
  <si>
    <t>Total cubic feet:</t>
  </si>
  <si>
    <t>ft  /  2  =</t>
  </si>
  <si>
    <t>ft        x</t>
  </si>
  <si>
    <t>ft        =</t>
  </si>
  <si>
    <t>ft       x</t>
  </si>
  <si>
    <t>ft  / 2  =</t>
  </si>
  <si>
    <t>Upslope Volume +  Volume under rockbed + Downslope Volume</t>
  </si>
  <si>
    <t>SAND VOLUME</t>
  </si>
  <si>
    <t>H.</t>
  </si>
  <si>
    <t>(date)</t>
  </si>
  <si>
    <t>(signature)</t>
  </si>
  <si>
    <t>ft      x</t>
  </si>
  <si>
    <t>Final Dimensions  (slope &gt;1%)</t>
  </si>
  <si>
    <t>ft =</t>
  </si>
  <si>
    <t>ft +</t>
  </si>
  <si>
    <t xml:space="preserve">     ft      +</t>
  </si>
  <si>
    <t>Notes:</t>
  </si>
  <si>
    <t>Total length:</t>
  </si>
  <si>
    <t xml:space="preserve">        ft +</t>
  </si>
  <si>
    <t>x</t>
  </si>
  <si>
    <t>Downslope absorption width:</t>
  </si>
  <si>
    <t>Downslope berm:</t>
  </si>
  <si>
    <t>Selected berm multiplier:</t>
  </si>
  <si>
    <t>Width:</t>
  </si>
  <si>
    <t>Length:</t>
  </si>
  <si>
    <t>Total</t>
  </si>
  <si>
    <t>ft           +</t>
  </si>
  <si>
    <t>Rockbed</t>
  </si>
  <si>
    <t>%  / 100 =</t>
  </si>
  <si>
    <t xml:space="preserve"> ft              x            </t>
  </si>
  <si>
    <t>Upslope berm:</t>
  </si>
  <si>
    <t xml:space="preserve">  ft      =</t>
  </si>
  <si>
    <t xml:space="preserve"> x</t>
  </si>
  <si>
    <t>Mound Detail: Land slope &gt; 1%</t>
  </si>
  <si>
    <t xml:space="preserve">ft + 1ft + 1 ft = </t>
  </si>
  <si>
    <t>absorption width</t>
  </si>
  <si>
    <t xml:space="preserve">  ft    -</t>
  </si>
  <si>
    <t>Restrictive layer</t>
  </si>
  <si>
    <t xml:space="preserve">feet = </t>
  </si>
  <si>
    <t>feet        -</t>
  </si>
  <si>
    <t>12" cover - top 6" topsoil</t>
  </si>
  <si>
    <t>MOUND SLOPE WIDTH &amp; LENGTH (Greater than 1%)</t>
  </si>
  <si>
    <t>G.</t>
  </si>
  <si>
    <t>1.5" inspection pipe</t>
  </si>
  <si>
    <t>ft         =</t>
  </si>
  <si>
    <t xml:space="preserve">1. </t>
  </si>
  <si>
    <t>Absorption ratio:</t>
  </si>
  <si>
    <t>ABSORPTION WIDTH</t>
  </si>
  <si>
    <t>F.</t>
  </si>
  <si>
    <t>X</t>
  </si>
  <si>
    <t>ROCK VOLUME</t>
  </si>
  <si>
    <t>E.</t>
  </si>
  <si>
    <t xml:space="preserve">  feet = </t>
  </si>
  <si>
    <t>ROCK LAYER DIMENSIONS</t>
  </si>
  <si>
    <t>D.</t>
  </si>
  <si>
    <t>%</t>
  </si>
  <si>
    <t>% Land Slope</t>
  </si>
  <si>
    <t>5.</t>
  </si>
  <si>
    <t>MPI</t>
  </si>
  <si>
    <t>Percolation rate</t>
  </si>
  <si>
    <t>Texture</t>
  </si>
  <si>
    <t xml:space="preserve">Depth of percolation tests = </t>
  </si>
  <si>
    <t>feet</t>
  </si>
  <si>
    <t>Depth to restricting layer=</t>
  </si>
  <si>
    <t xml:space="preserve">C. </t>
  </si>
  <si>
    <t>Septic tank capacity</t>
  </si>
  <si>
    <t>SEPTIC TANK LIQUID VOLUMES</t>
  </si>
  <si>
    <t>B.</t>
  </si>
  <si>
    <t>gpd</t>
  </si>
  <si>
    <t xml:space="preserve">   x 1.5 (safety factor) =</t>
  </si>
  <si>
    <t>or measured</t>
  </si>
  <si>
    <t xml:space="preserve">Estimated </t>
  </si>
  <si>
    <t>FLOW</t>
  </si>
  <si>
    <t>A.</t>
  </si>
  <si>
    <t>Final Dimensions  (slope &lt; 1%)</t>
  </si>
  <si>
    <t>feet) /      2       =</t>
  </si>
  <si>
    <t>(all sides)</t>
  </si>
  <si>
    <t>Rockbed setback</t>
  </si>
  <si>
    <t>Total absorption width:</t>
  </si>
  <si>
    <t xml:space="preserve">feet  = </t>
  </si>
  <si>
    <t>feet +</t>
  </si>
  <si>
    <t>if number is negative (&lt;0) skip to g</t>
  </si>
  <si>
    <t>feet =</t>
  </si>
  <si>
    <t>feet -</t>
  </si>
  <si>
    <t>Mound Detail: Land slope &lt; or = to 1%</t>
  </si>
  <si>
    <t>x 4 =</t>
  </si>
  <si>
    <t>ft+1ft+1ft =</t>
  </si>
  <si>
    <t>absorption width:</t>
  </si>
  <si>
    <t>berm:</t>
  </si>
  <si>
    <t>ft      -</t>
  </si>
  <si>
    <t>Original grade</t>
  </si>
  <si>
    <t xml:space="preserve"> Absorption width (F):</t>
  </si>
  <si>
    <t>MOUND SLOPE WIDTH &amp; LENGTH (Less than or equal to 1%)</t>
  </si>
  <si>
    <t>18 " at peak - top 6" topsoil</t>
  </si>
  <si>
    <t>Absorption Ratio (Fig. D-33):</t>
  </si>
  <si>
    <t>Effluent filter (yes/no)</t>
  </si>
  <si>
    <t>Number of tanks/compartments</t>
  </si>
  <si>
    <t>Amount per Dose should be 4-5 times this.</t>
  </si>
  <si>
    <t>This is the total volume to fill the laterals</t>
  </si>
  <si>
    <t xml:space="preserve">Total     = </t>
  </si>
  <si>
    <t>Lateral 6</t>
  </si>
  <si>
    <t>Lateral 5</t>
  </si>
  <si>
    <t>Lateral 4</t>
  </si>
  <si>
    <t>Lateral 3</t>
  </si>
  <si>
    <t>Lateral 2</t>
  </si>
  <si>
    <t>Lateral 1</t>
  </si>
  <si>
    <t>(in)</t>
  </si>
  <si>
    <t>(ft)</t>
  </si>
  <si>
    <t>to Fill (gal)</t>
  </si>
  <si>
    <t>(gal/ft)</t>
  </si>
  <si>
    <t>Spacing</t>
  </si>
  <si>
    <t>Perf Size</t>
  </si>
  <si>
    <t xml:space="preserve">Total Volume </t>
  </si>
  <si>
    <t>Pipe Length</t>
  </si>
  <si>
    <t>Pipe Vol.</t>
  </si>
  <si>
    <t>Pipe Size</t>
  </si>
  <si>
    <t>Enter the minimum pipe size that allows for even distribution and the volume of liquid in the pope (E-20).</t>
  </si>
  <si>
    <t>gpm</t>
  </si>
  <si>
    <t>Total =</t>
  </si>
  <si>
    <t>Flow =</t>
  </si>
  <si>
    <t>Calculate total gpm for system - the total GPM need from the pump</t>
  </si>
  <si>
    <t>9.</t>
  </si>
  <si>
    <t>perfs - 1) =</t>
  </si>
  <si>
    <t>ft - 2ft) / (</t>
  </si>
  <si>
    <t>Spacing = (Length - 2 feet) / (Number of perfs -1)</t>
  </si>
  <si>
    <t xml:space="preserve"> gpm =</t>
  </si>
  <si>
    <t>gpm  /</t>
  </si>
  <si>
    <t># of Perfs = GPM  / flow rate(5.5)</t>
  </si>
  <si>
    <t>gpm/ft    =</t>
  </si>
  <si>
    <t>ft x</t>
  </si>
  <si>
    <t>GPM = length of pipe x gallons per minute per foot (7)</t>
  </si>
  <si>
    <t># of Perfs = GPM  / flow rate(5.4)</t>
  </si>
  <si>
    <t># of Perfs = GPM  / flow rate(5.3)</t>
  </si>
  <si>
    <t># of Perfs = GPM  / flow rate(5.2)</t>
  </si>
  <si>
    <t>If you end up with a large spacing ( 5' is max) lower the initial spacing in #6 or the perf size in #5.</t>
  </si>
  <si>
    <t xml:space="preserve">Balance flows for other lengths, spacing, or size.  </t>
  </si>
  <si>
    <t>Perf</t>
  </si>
  <si>
    <t>gpm/ ft</t>
  </si>
  <si>
    <t>gpm    /</t>
  </si>
  <si>
    <t>Gallons / length =</t>
  </si>
  <si>
    <t>This value will then be used to make sure the gallon per minute per foot is equivalent in each lateral.</t>
  </si>
  <si>
    <t>Calculate the gallons per minute per foot for Lateral 1</t>
  </si>
  <si>
    <t>gpm for Lateral 1</t>
  </si>
  <si>
    <t xml:space="preserve">   gpm   =</t>
  </si>
  <si>
    <t>perf     x</t>
  </si>
  <si>
    <t>ft]+1  =</t>
  </si>
  <si>
    <t xml:space="preserve">ft - 2ft)  /   </t>
  </si>
  <si>
    <t>[(</t>
  </si>
  <si>
    <t>6.</t>
  </si>
  <si>
    <t>Diameter</t>
  </si>
  <si>
    <t>Pres</t>
  </si>
  <si>
    <t>Select a perforation diameter and the corresponding gallons per minute interpolating as needed.</t>
  </si>
  <si>
    <t>] =</t>
  </si>
  <si>
    <t>-</t>
  </si>
  <si>
    <t xml:space="preserve">   +      [</t>
  </si>
  <si>
    <t xml:space="preserve">+  [E1 - E5]  = </t>
  </si>
  <si>
    <t>Elevation</t>
  </si>
  <si>
    <t>+  [E1 - E4]  =</t>
  </si>
  <si>
    <t xml:space="preserve">+  [E1 - E3]  = </t>
  </si>
  <si>
    <t xml:space="preserve">+  [E1 - E2]  = </t>
  </si>
  <si>
    <t>2. For all other laterals the pressure head is calculated as baseline head plus the change in elevation from Lateral 1.</t>
  </si>
  <si>
    <t>1. Highest Trench Elevation (E1) the Head = 1 or 2 feet (baseline head)</t>
  </si>
  <si>
    <t>Calculate pressure head for each lateral</t>
  </si>
  <si>
    <t>This worksheet can not be used if greater than 5 feet.  Design must be modified or valving must be used to equalize flow.</t>
  </si>
  <si>
    <t>ft  =</t>
  </si>
  <si>
    <t>ft      +</t>
  </si>
  <si>
    <t>Enter 1 ft if design if for a single family home or 2 ft for anything else (min design pressure head at  perforation)</t>
  </si>
  <si>
    <t>Highest elevation - lowest elevation:</t>
  </si>
  <si>
    <t>Calculate change in elevation over the laterals.</t>
  </si>
  <si>
    <t>Length of pipe</t>
  </si>
  <si>
    <t>Elevation =</t>
  </si>
  <si>
    <t>Enter each system lateral elevation and length in order of highest to lowest elevation</t>
  </si>
  <si>
    <t>* 3 consecutive percolation rates must be within 10% or less of each other</t>
  </si>
  <si>
    <t>NA</t>
  </si>
  <si>
    <t>10% Goal Reached*</t>
  </si>
  <si>
    <t>% Difference</t>
  </si>
  <si>
    <t>Percolation Rate (mpi)</t>
  </si>
  <si>
    <t>Drop in Water Level (inches)</t>
  </si>
  <si>
    <t>Time Interval (min)</t>
  </si>
  <si>
    <t>Elapsed Time (min)</t>
  </si>
  <si>
    <t>#</t>
  </si>
  <si>
    <t>Directions:  Enter elapsed time and drop in water level and the rest will be calculated</t>
  </si>
  <si>
    <t>Surface elevation (in reference to benchmark):</t>
  </si>
  <si>
    <t>Maximum depth above hole bottom during test</t>
  </si>
  <si>
    <t>Starting at</t>
  </si>
  <si>
    <t>Date perc readings conducted</t>
  </si>
  <si>
    <t>Ending at</t>
  </si>
  <si>
    <t>Date presoak ended</t>
  </si>
  <si>
    <t>Method used to maintain 12" of water depth in hole for 4 hours</t>
  </si>
  <si>
    <t>Depth of initial water filling</t>
  </si>
  <si>
    <t>Date presoak started</t>
  </si>
  <si>
    <t>Depth of gravel at bottom</t>
  </si>
  <si>
    <t>Depth at bottom of hole</t>
  </si>
  <si>
    <t>Method of scratching sidewall</t>
  </si>
  <si>
    <t>Location</t>
  </si>
  <si>
    <t xml:space="preserve">Diameter of hole </t>
  </si>
  <si>
    <t>Test Hole #</t>
  </si>
  <si>
    <t>Address</t>
  </si>
  <si>
    <t>Homeowner Name</t>
  </si>
  <si>
    <t>Percolation Test Performed by</t>
  </si>
  <si>
    <t>License Number</t>
  </si>
  <si>
    <t>Company Name</t>
  </si>
  <si>
    <t xml:space="preserve">minimum diameter for perforated lateral = </t>
  </si>
  <si>
    <t xml:space="preserve">one half of that in step A.   Using these values, select </t>
  </si>
  <si>
    <t>and number of perforations per lateral (5) will be approximately</t>
  </si>
  <si>
    <t xml:space="preserve">manifold pipe near the center, like Figure E-2, perforated lateral length (3) </t>
  </si>
  <si>
    <t>for perforated laterals =</t>
  </si>
  <si>
    <t xml:space="preserve">number of perforations per lateral. Select minimum diameter </t>
  </si>
  <si>
    <t xml:space="preserve">diameter; enter figure E-4 or E-5 with perforation spacing and </t>
  </si>
  <si>
    <t xml:space="preserve">as shown in Figure E-1, to select minimum required lateral </t>
  </si>
  <si>
    <t>Determine Minimum Pipe Size</t>
  </si>
  <si>
    <t>gpm / perfs =</t>
  </si>
  <si>
    <t>perfs x</t>
  </si>
  <si>
    <t>of perforations(6A) by flow per perforations (see figure E-6)</t>
  </si>
  <si>
    <t xml:space="preserve">Determine required flow rate by multiplying the total number </t>
  </si>
  <si>
    <t>perfs   =</t>
  </si>
  <si>
    <t>2.  Square foot per perforation=Rock Bed Area/number of perfs(6)</t>
  </si>
  <si>
    <t xml:space="preserve"> ft x</t>
  </si>
  <si>
    <t>1.  Rock bed area = rock width (ft) x rock length (ft)</t>
  </si>
  <si>
    <t>B. Calculate the square footage per perforation.</t>
  </si>
  <si>
    <t>perforations</t>
  </si>
  <si>
    <t>laterals =</t>
  </si>
  <si>
    <t>perfs/ lat x</t>
  </si>
  <si>
    <t>A. Total number of perforations = perforations per lateral (5) times number of laterals (1).</t>
  </si>
  <si>
    <t>perforations/lateral</t>
  </si>
  <si>
    <t>spaces + 1 =</t>
  </si>
  <si>
    <t>&lt; 10% discharge variation.</t>
  </si>
  <si>
    <t xml:space="preserve">* Check figure E-4 to assure the number of perforations per lateral guarantees </t>
  </si>
  <si>
    <t>Number of perforations is equal to one plus the number of perforation spaces (4).</t>
  </si>
  <si>
    <t>Select perforation size</t>
  </si>
  <si>
    <t>ft /</t>
  </si>
  <si>
    <t>Perforation spacing =</t>
  </si>
  <si>
    <t>Divide the length (3) by perforation spacing (2) and round down to nearest whole number.</t>
  </si>
  <si>
    <t>Determine the number of spaces between perforations.</t>
  </si>
  <si>
    <t>- 2 ft =</t>
  </si>
  <si>
    <t>the rock layer length</t>
  </si>
  <si>
    <t>the edge of the rock layer (see diagram), subtract 2 feet from</t>
  </si>
  <si>
    <t xml:space="preserve">Since perforations should not be placed closer that 1 foot to </t>
  </si>
  <si>
    <t>Select perforation spacing =</t>
  </si>
  <si>
    <t>Select number of perforated laterals:</t>
  </si>
  <si>
    <t>feet of total head (2D).</t>
  </si>
  <si>
    <t xml:space="preserve"> with at least</t>
  </si>
  <si>
    <t>gpm (1A or B)</t>
  </si>
  <si>
    <t>1. A pump must be selected to deliver at least</t>
  </si>
  <si>
    <t>Pump Selection</t>
  </si>
  <si>
    <t>Total Head:</t>
  </si>
  <si>
    <t>ft   +</t>
  </si>
  <si>
    <t>ft   /   100 =</t>
  </si>
  <si>
    <t xml:space="preserve">ft/100ft  X </t>
  </si>
  <si>
    <t>Friction Loss =</t>
  </si>
  <si>
    <t xml:space="preserve">ft x 1.25 = </t>
  </si>
  <si>
    <t>Pipe length times 1.25 = equivalent pipe length</t>
  </si>
  <si>
    <t xml:space="preserve">Estimate by adding 25 percent to pipe length for friction loss in fittings. </t>
  </si>
  <si>
    <t>Friction loss=</t>
  </si>
  <si>
    <t>Read friction loss in feet per 100 feet from Figure E-9</t>
  </si>
  <si>
    <t>2.  Enter Figure E-9 with gpm (1A or B) and pipe diameter (C1)</t>
  </si>
  <si>
    <t>1.  Select pipe diameter</t>
  </si>
  <si>
    <t>Friction loss in supply pipe</t>
  </si>
  <si>
    <t>C.</t>
  </si>
  <si>
    <t>Elevation difference between pump and point of discharge.</t>
  </si>
  <si>
    <t>Determine Total Dynamic Head (TDH)</t>
  </si>
  <si>
    <t>out of the distribution device.</t>
  </si>
  <si>
    <t xml:space="preserve">supply rate, but no faster than the rate at which effluent will flow </t>
  </si>
  <si>
    <t xml:space="preserve">For other establishments at least 10% greater than the water </t>
  </si>
  <si>
    <t>2. Maximum suggested discharge is 45 gpm</t>
  </si>
  <si>
    <t>1. Minimum required discharge is 10 gpm</t>
  </si>
  <si>
    <t>A.  Gravity Distribution</t>
  </si>
  <si>
    <t>Determine pump capacity:</t>
  </si>
  <si>
    <t>Consistence</t>
  </si>
  <si>
    <t>Structure</t>
  </si>
  <si>
    <t>Color</t>
  </si>
  <si>
    <t xml:space="preserve">Location:  </t>
  </si>
  <si>
    <t xml:space="preserve">Elevation:  </t>
  </si>
  <si>
    <t xml:space="preserve">Was a perc test done ? </t>
  </si>
  <si>
    <t>Soil sizing factor (SSF):</t>
  </si>
  <si>
    <t>Maximum depth of system:</t>
  </si>
  <si>
    <t>Soil Survey Data</t>
  </si>
  <si>
    <t>Soil texture classification:</t>
  </si>
  <si>
    <t>Well casing depth</t>
  </si>
  <si>
    <t xml:space="preserve">Estimated flow </t>
  </si>
  <si>
    <t>(check all that apply)</t>
  </si>
  <si>
    <t>Location Information</t>
  </si>
  <si>
    <t>Date</t>
  </si>
  <si>
    <t xml:space="preserve"> Township</t>
  </si>
  <si>
    <t>Section</t>
  </si>
  <si>
    <t>Property Owner(s)</t>
  </si>
  <si>
    <t xml:space="preserve">%  direction </t>
  </si>
  <si>
    <t xml:space="preserve">show slope    </t>
  </si>
  <si>
    <t>indicate north</t>
  </si>
  <si>
    <t>Map scale:</t>
  </si>
  <si>
    <t>Mapping Checklist</t>
  </si>
  <si>
    <t xml:space="preserve">List any construction issues:    </t>
  </si>
  <si>
    <t xml:space="preserve"> =</t>
  </si>
  <si>
    <t>Add in 10% extra for constructability =   1.1  X</t>
  </si>
  <si>
    <t>Weight of rock in tons = cubic yards times 1.4</t>
  </si>
  <si>
    <t>Volume in cubic yards = volume in cubic feet divided by 27</t>
  </si>
  <si>
    <t>ft     +     0.5 ft)    x</t>
  </si>
  <si>
    <t>(Rock depth + 0.5 foot) x Area (J, K, L, M)</t>
  </si>
  <si>
    <t>Cubic feet of rock needed = Rock depth below distribution pipe plus 0.5 foot times bottom area:</t>
  </si>
  <si>
    <t>Depth of media below pipe</t>
  </si>
  <si>
    <t>T.</t>
  </si>
  <si>
    <t>Rock Sizing and Volume</t>
  </si>
  <si>
    <t>lineal feet</t>
  </si>
  <si>
    <t>ft                   =</t>
  </si>
  <si>
    <t>For gravity beds the lineal feet required = required square footage / width of bed</t>
  </si>
  <si>
    <t>S.</t>
  </si>
  <si>
    <t>For trenches or pressure beds the lineal feet required = required square footage / width of bottom of trench or bed</t>
  </si>
  <si>
    <t>R.</t>
  </si>
  <si>
    <t xml:space="preserve">ft </t>
  </si>
  <si>
    <t>Select width of trench or bed</t>
  </si>
  <si>
    <t>Q</t>
  </si>
  <si>
    <t xml:space="preserve">         (must use 6" of rock square footage for beds)</t>
  </si>
  <si>
    <t>Select required square feet of bottom area required based on depth of rock/gravelless pipe or height of chamber slats</t>
  </si>
  <si>
    <t>P.</t>
  </si>
  <si>
    <t>Trench and Bed Dimensions</t>
  </si>
  <si>
    <t>ft/gpd           =</t>
  </si>
  <si>
    <t>gpd x</t>
  </si>
  <si>
    <t xml:space="preserve">A x H = </t>
  </si>
  <si>
    <t>For pressure beds with 6 or 12 inches of rock below the pipe;</t>
  </si>
  <si>
    <t>O.</t>
  </si>
  <si>
    <t>1.5 x A x H = 1.5 x</t>
  </si>
  <si>
    <t>For gravity beds with 6 or 12 inches of rock below the pipe;</t>
  </si>
  <si>
    <t>N.</t>
  </si>
  <si>
    <t>ft/gpd   x  0.6  =</t>
  </si>
  <si>
    <t>gpd         x</t>
  </si>
  <si>
    <t>A x H x 0.6=</t>
  </si>
  <si>
    <t>For trenches with 24 inches of sidewall:</t>
  </si>
  <si>
    <t>M.</t>
  </si>
  <si>
    <t>ft/gpd  x  0.66 =</t>
  </si>
  <si>
    <t>A x H x 0.66=</t>
  </si>
  <si>
    <t>For trenches with 18 inches of sidewall:</t>
  </si>
  <si>
    <t>L.</t>
  </si>
  <si>
    <t>ft/gpd  x  0.8  =</t>
  </si>
  <si>
    <t>A x H x 0.8=</t>
  </si>
  <si>
    <t>For trenches with 12 inches of sidewall:</t>
  </si>
  <si>
    <t>K.</t>
  </si>
  <si>
    <t>ft/gpd             =</t>
  </si>
  <si>
    <t>A x H =</t>
  </si>
  <si>
    <t>J.</t>
  </si>
  <si>
    <t>TRENCH OR BED BOTTOM AREA</t>
  </si>
  <si>
    <t>Method of  Distribution</t>
  </si>
  <si>
    <t>Distribution Media Type</t>
  </si>
  <si>
    <t>% Slope</t>
  </si>
  <si>
    <t>I.</t>
  </si>
  <si>
    <t>SSF</t>
  </si>
  <si>
    <t>if available</t>
  </si>
  <si>
    <t>Percolation Rate</t>
  </si>
  <si>
    <t>Maximum depth of system Item E - 3 ft =</t>
  </si>
  <si>
    <t>Depth to restricting layer =</t>
  </si>
  <si>
    <t>Minimum size if needed</t>
  </si>
  <si>
    <t>Pump tank needed (yes/no)</t>
  </si>
  <si>
    <t>Pump Tank Specifications</t>
  </si>
  <si>
    <t>Minimum Septic Tank Capacity</t>
  </si>
  <si>
    <t>Estimated Flow</t>
  </si>
  <si>
    <t>Flow</t>
  </si>
  <si>
    <t>Tax ID #</t>
  </si>
  <si>
    <t>Tax ID #:</t>
  </si>
  <si>
    <t>Site Evaluation Form</t>
  </si>
  <si>
    <t xml:space="preserve"> (includes possible additions)</t>
  </si>
  <si>
    <t xml:space="preserve">Water using devices </t>
  </si>
  <si>
    <t>Discharge Location (if checked)</t>
  </si>
  <si>
    <t>Coarse Sand</t>
  </si>
  <si>
    <t>Loamy Sand</t>
  </si>
  <si>
    <t>Sandy Loam</t>
  </si>
  <si>
    <t>Silt Loam</t>
  </si>
  <si>
    <t>Med Sand</t>
  </si>
  <si>
    <t>Fine Sand</t>
  </si>
  <si>
    <t>Silt</t>
  </si>
  <si>
    <t>Clay Loam</t>
  </si>
  <si>
    <t>Silty or Sandy Clay Loam</t>
  </si>
  <si>
    <t>Silty or Sandy</t>
  </si>
  <si>
    <t>Clay</t>
  </si>
  <si>
    <t>AM</t>
  </si>
  <si>
    <t>PM</t>
  </si>
  <si>
    <t>inches (above hole bottom)</t>
  </si>
  <si>
    <t>/ 27  =</t>
  </si>
  <si>
    <t xml:space="preserve">Length of rock layer </t>
  </si>
  <si>
    <t>Cubic feet of rock</t>
  </si>
  <si>
    <t>Depth of rock layer</t>
  </si>
  <si>
    <t>Table D-33</t>
  </si>
  <si>
    <t>MOUND SIZE (UPSLOPE)</t>
  </si>
  <si>
    <t>(berm multiplier(G2c) times upslope mound height(G2b):)</t>
  </si>
  <si>
    <t>MOUND SIZE (DOWNSLOPE)</t>
  </si>
  <si>
    <t xml:space="preserve"> rock layer width (D2) times percent landslope(C5) / 100</t>
  </si>
  <si>
    <t>the sum of upslope (G2d) width plus rock layer width (D2) plus downslope width (G2i)</t>
  </si>
  <si>
    <t>Figure D-34</t>
  </si>
  <si>
    <t>License #</t>
  </si>
  <si>
    <t xml:space="preserve"> (depth of clean sand + 1) x (upslope berm)  x (mound length) / 2 = ft3</t>
  </si>
  <si>
    <t>(average depth of sand under rock) x (rockbed width) x (mound length) = ft3</t>
  </si>
  <si>
    <t>Divide ft3 by 27 ft3/yd3</t>
  </si>
  <si>
    <t>Cubic yards</t>
  </si>
  <si>
    <t>Multiply cubic yards by 1.4 to get</t>
  </si>
  <si>
    <t xml:space="preserve">Weight of sand in tons </t>
  </si>
  <si>
    <t xml:space="preserve">gpd </t>
  </si>
  <si>
    <t xml:space="preserve">Effluent filter </t>
  </si>
  <si>
    <t>Multiply average design flow (A) by 0.83</t>
  </si>
  <si>
    <t xml:space="preserve">Rock layer width </t>
  </si>
  <si>
    <t xml:space="preserve">0.83 ft2/gpd x Linear Loading Rate (LLR) </t>
  </si>
  <si>
    <t>area divided by width</t>
  </si>
  <si>
    <t>Multiply rock area by rock depth</t>
  </si>
  <si>
    <t xml:space="preserve">Weight of rock in tons; </t>
  </si>
  <si>
    <t xml:space="preserve">Multiply cubic yards by 1.4 </t>
  </si>
  <si>
    <t>Absorption width</t>
  </si>
  <si>
    <t>absorption ratio (see Figure D-33) times rock layer width</t>
  </si>
  <si>
    <t>Minimum mound size</t>
  </si>
  <si>
    <t>3 feet minus distance to restricting layer(C1)</t>
  </si>
  <si>
    <t xml:space="preserve"> depth of clean sand for separation (G2a) plus depth of rock layer (1 foot) plus depth of cover (1 foot)  </t>
  </si>
  <si>
    <t xml:space="preserve"> upslope mound height(G2b) times 4 (4 is recommended, but could be 3-12)</t>
  </si>
  <si>
    <t>berm (G2c) width plus rock layer width (D2) plus berm width (G2c)</t>
  </si>
  <si>
    <t>the absorption width (F) minus the landscape width (G2d)</t>
  </si>
  <si>
    <t>additional width (G2e) plus the berm width (G2c)</t>
  </si>
  <si>
    <t xml:space="preserve"> berm width(G2f or G2c) plus rock layer width (D2) plus berm width (G2f or G2c)</t>
  </si>
  <si>
    <t xml:space="preserve">b. Mound height at the upslope edge of rock layer </t>
  </si>
  <si>
    <t xml:space="preserve">c. Berm width </t>
  </si>
  <si>
    <t xml:space="preserve">a. Depth of clean sand at upslope edge of rock layer  </t>
  </si>
  <si>
    <t xml:space="preserve">d. Total landscape width </t>
  </si>
  <si>
    <t xml:space="preserve">e. Additional width necessary for absorption   </t>
  </si>
  <si>
    <t xml:space="preserve">f. Final berm width </t>
  </si>
  <si>
    <t>berm (G2f or G2c) plus rock layer length (D3) plus berm (G2f or G2c)</t>
  </si>
  <si>
    <t xml:space="preserve">h. Total mound length </t>
  </si>
  <si>
    <t xml:space="preserve"> the absorption width (F) minus the rock bed width (D2) divided by 2   </t>
  </si>
  <si>
    <t xml:space="preserve">i. Setbacks from the rockbed </t>
  </si>
  <si>
    <t>(depth of clean sand + 1) x (downslope berm) x (mound length) / 2 = ft3</t>
  </si>
  <si>
    <t>Multiply cubic yards by 1.4</t>
  </si>
  <si>
    <t>MIP Check Boc</t>
  </si>
  <si>
    <t>upslope width (G2d) plus rock layer length (D3) plus upslope width (G2d)</t>
  </si>
  <si>
    <t xml:space="preserve">g. Total mound width </t>
  </si>
  <si>
    <t>911 Address</t>
  </si>
  <si>
    <t>Depth to limiting layer</t>
  </si>
  <si>
    <t>Depth of test</t>
  </si>
  <si>
    <t>Estimated Perc</t>
  </si>
  <si>
    <t xml:space="preserve">Soil loading rate </t>
  </si>
  <si>
    <t>Soil loading rate</t>
  </si>
  <si>
    <t>Lift</t>
  </si>
  <si>
    <t>Disposal</t>
  </si>
  <si>
    <t>Phone Number:</t>
  </si>
  <si>
    <t xml:space="preserve">3. </t>
  </si>
  <si>
    <t xml:space="preserve"> Calculate total tank volume</t>
  </si>
  <si>
    <t>depth from bottom of inlet pipe to tank bottom(3A) x gal/in(2)</t>
  </si>
  <si>
    <t xml:space="preserve">B.  Total tank volume  </t>
  </si>
  <si>
    <t>(with 2-3 inches of water covering pump) (Pump and block height + 2 inches) x gallon per inch</t>
  </si>
  <si>
    <t>Pump and Block Height</t>
  </si>
  <si>
    <t xml:space="preserve">5. </t>
  </si>
  <si>
    <t xml:space="preserve"> Calculate total pumpout volume</t>
  </si>
  <si>
    <t>Gallon per dose = gpd (see Figure A-1)/ doses per day =</t>
  </si>
  <si>
    <t xml:space="preserve"> dose volume(5A) + drainback (5B3)</t>
  </si>
  <si>
    <t xml:space="preserve">C.  Total pump out volume </t>
  </si>
  <si>
    <t xml:space="preserve">6.  </t>
  </si>
  <si>
    <t xml:space="preserve">Calculate float separation distance </t>
  </si>
  <si>
    <t xml:space="preserve">(using total pumpout volume) Total pumpout volume(5C) / gal/inch(2) </t>
  </si>
  <si>
    <t xml:space="preserve">Alarm depth (inch)  x gallon/inch(2)   </t>
  </si>
  <si>
    <t>gallons over pump(4) + gallons pumpout(5C) + gallons alarm(7)</t>
  </si>
  <si>
    <t>total gallons(8) / gallon/in(2)</t>
  </si>
  <si>
    <t xml:space="preserve">Total tank depth </t>
  </si>
  <si>
    <t>[(length of pipe - 2)/spacing] +1</t>
  </si>
  <si>
    <t xml:space="preserve">Number of perforations  </t>
  </si>
  <si>
    <t>number of perforations x flow rate</t>
  </si>
  <si>
    <t xml:space="preserve">10.  </t>
  </si>
  <si>
    <t>Summary</t>
  </si>
  <si>
    <t>Recommended value is 6-10 sqft/perf. Does not apply to at-grades.</t>
  </si>
  <si>
    <t>Est. Pipe length</t>
  </si>
  <si>
    <t># of tanks/compartments</t>
  </si>
  <si>
    <t xml:space="preserve"># of tanks/compartments </t>
  </si>
  <si>
    <t>Effluent filter</t>
  </si>
  <si>
    <t>Mottle Color(s)</t>
  </si>
  <si>
    <t>Design Information</t>
  </si>
  <si>
    <t>Site Evaluation</t>
  </si>
  <si>
    <t xml:space="preserve">For trenches with 6 inches of side wall beneath the pipe or chamber system </t>
  </si>
  <si>
    <t>(if test not completed)</t>
  </si>
  <si>
    <t>Soil Depth (Inches)</t>
  </si>
  <si>
    <t>Soil Data</t>
  </si>
  <si>
    <t>Map Unit</t>
  </si>
  <si>
    <t>Take the highest score that is within 10%</t>
  </si>
  <si>
    <t>Septic Tank Capacity</t>
  </si>
  <si>
    <t>Number of Tanks</t>
  </si>
  <si>
    <t xml:space="preserve">gallons </t>
  </si>
  <si>
    <t>(see figure C-1)</t>
  </si>
  <si>
    <t>(See Figure D-33)</t>
  </si>
  <si>
    <t>/  27  =</t>
  </si>
  <si>
    <t xml:space="preserve"> x 1.4    =</t>
  </si>
  <si>
    <t>in +     2 in)  x</t>
  </si>
  <si>
    <t xml:space="preserve">gal/ft </t>
  </si>
  <si>
    <t>(typically 2 - 3 inches)</t>
  </si>
  <si>
    <t>CREDITS</t>
  </si>
  <si>
    <t>Each time a design is done the file should be saved with a unique file name. Keep an original version of the workbook with no data entered.  To have a version which can not be altered you can create at PDF.  Creating a PDF requires the full version of Adobe Acrobat which is software you may not have.  The other option is to go to "Tools"..."Protection"..."Protect Worksheet" and save the file for that particular job which it what the overall plan for how to do this.</t>
  </si>
  <si>
    <t>SAVING</t>
  </si>
  <si>
    <t>The worksheets should display and print at 100%. This makes the worksheets readable and able to be filled in by hand.  The worksheets can be printed in either color or black and white.  You may need to set your computer/printer to grayscale option or you may wish to change the colored portions of the worksheets. Each sheet that is part of your design must be printed separately as there is not a way to print them all at one time.</t>
  </si>
  <si>
    <t xml:space="preserve">PRINTING </t>
  </si>
  <si>
    <t>NOTE:  Most of the cells in this workbook have a great deal of complex formatting and formulas in the background.  If you alter the formulas, the workbook will not function properly.  It would be a good idea to copy this workbook and always work with the the copy, so the original can be utilized for back-up purposes only.</t>
  </si>
  <si>
    <t>Some of the yellow cells have a drop-down menu function.  A small arrow pointing downwards will appear in the lower right corner of the cells with a drop-down menu.  You MUST choose one of the values in the drop-down menu.  To erase the value, simply highlight the cell and press the Delete key on your keyboard.</t>
  </si>
  <si>
    <t>DROP DOWN MENUS</t>
  </si>
  <si>
    <t>Many of the worksheets have check boxes that one may check on the computer.  If these are not working, you are most likely is in "design mode" in excel.  To fix this, from the menu, select View, Toolbars, and then select "Control Toolbox".  Now a new toolbar will appear in your menu bar.  There is a button that looks like a ruler and a speed square.  Click it to get out of design mode.  Now the check boxes should work.</t>
  </si>
  <si>
    <t>CHECK BOXES</t>
  </si>
  <si>
    <t>Yellow cells are user input cells, that is, these are the cells where you as the designer must manually enter the value that the worksheet is requesting.  If you begin on each sheet on the first yellow cell, you can then Tab through the rest of the form and you will tab only through cells that require you to enter information.</t>
  </si>
  <si>
    <t>INPUTS</t>
  </si>
  <si>
    <t>2.  If prompted enable the macros.</t>
  </si>
  <si>
    <t xml:space="preserve">1.  Your security level must be medium or low (not the default of high). This can be changed under Tools, Macro, Security. In Office 2007, click the Microsoft Office Button, then click the Excel Options. Select the Trust Center, Settings, and then click Macro Settings to enable. </t>
  </si>
  <si>
    <t>This file contains macros which are imbedded formulas to do some of the calculations.  In order for these to work:</t>
  </si>
  <si>
    <t>SECURITY LEVEL &amp; MACROS</t>
  </si>
  <si>
    <t>2. You can print blank copies of the worksheets and fill them out by hand.</t>
  </si>
  <si>
    <t>1. You can use the Excel worksheet on a computer and fill in the values on a computer &amp; print out the results or email them.  Using this function you must be sure to enable macros if asked this by Excel, or</t>
  </si>
  <si>
    <t>There are two ways you can utilize this workbook:</t>
  </si>
  <si>
    <t>These worksheets were created in Microsoft Excel. You must have a software program that can open .xls documents to use these forms. If you do not have Microsoft Excel, you can download a similar program named OpenOffice online: http://www.openoffice.org/</t>
  </si>
  <si>
    <t>2014 version</t>
  </si>
  <si>
    <t xml:space="preserve">Instructions for  SSTS Basic Design Forms </t>
  </si>
  <si>
    <t>1. Site Evaluation</t>
  </si>
  <si>
    <t>Depth of  Test</t>
  </si>
  <si>
    <t>plus the mound height at the upslope edge of rock layer</t>
  </si>
  <si>
    <t xml:space="preserve">depth of clean sand for slope difference (G2e) at downslope rock edge </t>
  </si>
  <si>
    <t>beds can not be wider the 25')</t>
  </si>
  <si>
    <t xml:space="preserve">(use 3' for gravelless pipe, width of chamber or width of excavation for rock in trenches &amp; </t>
  </si>
  <si>
    <t>Gallons</t>
  </si>
  <si>
    <r>
      <t xml:space="preserve">No. of bedrooms </t>
    </r>
    <r>
      <rPr>
        <i/>
        <sz val="12"/>
        <rFont val="Arial"/>
        <family val="2"/>
      </rPr>
      <t>(if applicable)</t>
    </r>
  </si>
  <si>
    <r>
      <t xml:space="preserve">gpd </t>
    </r>
    <r>
      <rPr>
        <b/>
        <sz val="12"/>
        <rFont val="Arial"/>
        <family val="2"/>
      </rPr>
      <t>see chart A-</t>
    </r>
    <r>
      <rPr>
        <sz val="12"/>
        <rFont val="Arial"/>
        <family val="2"/>
      </rPr>
      <t xml:space="preserve">1 </t>
    </r>
  </si>
  <si>
    <r>
      <t xml:space="preserve">Unnatural soil </t>
    </r>
    <r>
      <rPr>
        <i/>
        <sz val="12"/>
        <rFont val="Arial"/>
        <family val="2"/>
      </rPr>
      <t>(check)</t>
    </r>
  </si>
  <si>
    <r>
      <t xml:space="preserve">Type of observation </t>
    </r>
    <r>
      <rPr>
        <i/>
        <sz val="12"/>
        <rFont val="Arial"/>
        <family val="2"/>
      </rPr>
      <t>(check)</t>
    </r>
  </si>
  <si>
    <r>
      <t xml:space="preserve">Vegetation type </t>
    </r>
    <r>
      <rPr>
        <i/>
        <sz val="12"/>
        <rFont val="Arial"/>
        <family val="2"/>
      </rPr>
      <t>(check)</t>
    </r>
  </si>
  <si>
    <r>
      <t xml:space="preserve">Parent material </t>
    </r>
    <r>
      <rPr>
        <i/>
        <sz val="12"/>
        <rFont val="Arial"/>
        <family val="2"/>
      </rPr>
      <t>(check)</t>
    </r>
  </si>
  <si>
    <r>
      <t xml:space="preserve">Slope form </t>
    </r>
    <r>
      <rPr>
        <i/>
        <sz val="12"/>
        <rFont val="Arial"/>
        <family val="2"/>
      </rPr>
      <t>(check)</t>
    </r>
  </si>
  <si>
    <r>
      <t xml:space="preserve">Drainage </t>
    </r>
    <r>
      <rPr>
        <i/>
        <sz val="12"/>
        <rFont val="Arial"/>
        <family val="2"/>
      </rPr>
      <t>(check)</t>
    </r>
  </si>
  <si>
    <r>
      <t xml:space="preserve">Located in floodplain </t>
    </r>
    <r>
      <rPr>
        <i/>
        <sz val="12"/>
        <rFont val="Arial"/>
        <family val="2"/>
      </rPr>
      <t>(check)</t>
    </r>
  </si>
  <si>
    <r>
      <t>gpd/ft</t>
    </r>
    <r>
      <rPr>
        <vertAlign val="superscript"/>
        <sz val="12"/>
        <rFont val="Arial"/>
        <family val="2"/>
      </rPr>
      <t xml:space="preserve">2   </t>
    </r>
  </si>
  <si>
    <t xml:space="preserve">Site Evaluation Map    </t>
  </si>
  <si>
    <r>
      <t>ft</t>
    </r>
    <r>
      <rPr>
        <vertAlign val="superscript"/>
        <sz val="10"/>
        <rFont val="Arial"/>
        <family val="2"/>
      </rPr>
      <t>2</t>
    </r>
  </si>
  <si>
    <r>
      <rPr>
        <sz val="20"/>
        <rFont val="Arial"/>
        <family val="2"/>
      </rPr>
      <t>Mound</t>
    </r>
    <r>
      <rPr>
        <sz val="26"/>
        <rFont val="Arial"/>
        <family val="2"/>
      </rPr>
      <t xml:space="preserve"> </t>
    </r>
    <r>
      <rPr>
        <sz val="16"/>
        <rFont val="Arial"/>
        <family val="2"/>
      </rPr>
      <t>(Less than or equal to 1%)</t>
    </r>
  </si>
  <si>
    <r>
      <t xml:space="preserve">SOILS </t>
    </r>
    <r>
      <rPr>
        <i/>
        <sz val="12"/>
        <rFont val="Arial"/>
        <family val="2"/>
      </rPr>
      <t>(Site evaluation data)</t>
    </r>
  </si>
  <si>
    <r>
      <t>gpd/ ft</t>
    </r>
    <r>
      <rPr>
        <vertAlign val="superscript"/>
        <sz val="12"/>
        <rFont val="Arial"/>
        <family val="2"/>
      </rPr>
      <t>2</t>
    </r>
  </si>
  <si>
    <r>
      <rPr>
        <b/>
        <sz val="12"/>
        <rFont val="Arial"/>
        <family val="2"/>
      </rPr>
      <t>Required area of rock layer</t>
    </r>
    <r>
      <rPr>
        <sz val="12"/>
        <rFont val="Arial"/>
        <family val="2"/>
      </rPr>
      <t xml:space="preserve">: </t>
    </r>
  </si>
  <si>
    <r>
      <t>gpd x 0.83 ft</t>
    </r>
    <r>
      <rPr>
        <vertAlign val="superscript"/>
        <sz val="12"/>
        <rFont val="Arial"/>
        <family val="2"/>
      </rPr>
      <t>2</t>
    </r>
    <r>
      <rPr>
        <sz val="12"/>
        <rFont val="Arial"/>
        <family val="2"/>
      </rPr>
      <t xml:space="preserve">/gpd </t>
    </r>
  </si>
  <si>
    <r>
      <t>ft</t>
    </r>
    <r>
      <rPr>
        <vertAlign val="superscript"/>
        <sz val="12"/>
        <rFont val="Arial"/>
        <family val="2"/>
      </rPr>
      <t>2</t>
    </r>
  </si>
  <si>
    <r>
      <rPr>
        <b/>
        <sz val="12"/>
        <rFont val="Arial"/>
        <family val="2"/>
      </rPr>
      <t xml:space="preserve"> Rock layer width</t>
    </r>
    <r>
      <rPr>
        <sz val="12"/>
        <rFont val="Arial"/>
        <family val="2"/>
      </rPr>
      <t xml:space="preserve">  </t>
    </r>
  </si>
  <si>
    <r>
      <t>0.83 ft</t>
    </r>
    <r>
      <rPr>
        <vertAlign val="superscript"/>
        <sz val="12"/>
        <rFont val="Arial"/>
        <family val="2"/>
      </rPr>
      <t>2</t>
    </r>
    <r>
      <rPr>
        <sz val="12"/>
        <rFont val="Arial"/>
        <family val="2"/>
      </rPr>
      <t>/gpd       x</t>
    </r>
  </si>
  <si>
    <r>
      <t>ft</t>
    </r>
    <r>
      <rPr>
        <vertAlign val="superscript"/>
        <sz val="12"/>
        <rFont val="Arial"/>
        <family val="2"/>
      </rPr>
      <t>2</t>
    </r>
    <r>
      <rPr>
        <sz val="12"/>
        <rFont val="Arial"/>
        <family val="2"/>
      </rPr>
      <t xml:space="preserve">         </t>
    </r>
    <r>
      <rPr>
        <b/>
        <sz val="12"/>
        <rFont val="Arial"/>
        <family val="2"/>
      </rPr>
      <t xml:space="preserve"> /</t>
    </r>
  </si>
  <si>
    <r>
      <rPr>
        <b/>
        <sz val="12"/>
        <rFont val="Arial"/>
        <family val="2"/>
      </rPr>
      <t xml:space="preserve">Absorption width </t>
    </r>
    <r>
      <rPr>
        <i/>
        <sz val="12"/>
        <rFont val="Arial"/>
        <family val="2"/>
      </rPr>
      <t>( absorption ratio times rock layer width)</t>
    </r>
  </si>
  <si>
    <r>
      <rPr>
        <b/>
        <sz val="12"/>
        <rFont val="Arial"/>
        <family val="2"/>
      </rPr>
      <t>Downslope absorption width</t>
    </r>
    <r>
      <rPr>
        <sz val="12"/>
        <rFont val="Arial"/>
        <family val="2"/>
      </rPr>
      <t xml:space="preserve">  </t>
    </r>
    <r>
      <rPr>
        <i/>
        <sz val="12"/>
        <rFont val="Arial"/>
        <family val="2"/>
      </rPr>
      <t>(absorption width minus rock layer width)</t>
    </r>
  </si>
  <si>
    <r>
      <t xml:space="preserve">a. </t>
    </r>
    <r>
      <rPr>
        <b/>
        <sz val="12"/>
        <rFont val="Arial"/>
        <family val="2"/>
      </rPr>
      <t>Depth of clean sand at upslope edge of rock layer</t>
    </r>
    <r>
      <rPr>
        <sz val="12"/>
        <rFont val="Arial"/>
        <family val="2"/>
      </rPr>
      <t xml:space="preserve">  </t>
    </r>
    <r>
      <rPr>
        <i/>
        <sz val="12"/>
        <rFont val="Arial"/>
        <family val="2"/>
      </rPr>
      <t>(3 feet minus distance to restricting layer(C1))</t>
    </r>
  </si>
  <si>
    <r>
      <t xml:space="preserve">b. </t>
    </r>
    <r>
      <rPr>
        <b/>
        <sz val="12"/>
        <rFont val="Arial"/>
        <family val="2"/>
      </rPr>
      <t>Mound height at the upslope edge of rock layer</t>
    </r>
    <r>
      <rPr>
        <sz val="12"/>
        <rFont val="Arial"/>
        <family val="2"/>
      </rPr>
      <t xml:space="preserve"> </t>
    </r>
  </si>
  <si>
    <r>
      <rPr>
        <i/>
        <sz val="12"/>
        <rFont val="Arial"/>
        <family val="2"/>
      </rPr>
      <t>(depth of clean sand for separation (G2a) at upslope edge plus depth of rock layer (1 foot) to depth of cover (1 foot)</t>
    </r>
    <r>
      <rPr>
        <sz val="12"/>
        <rFont val="Arial"/>
        <family val="2"/>
      </rPr>
      <t xml:space="preserve"> </t>
    </r>
  </si>
  <si>
    <r>
      <t>c.</t>
    </r>
    <r>
      <rPr>
        <b/>
        <sz val="12"/>
        <rFont val="Arial"/>
        <family val="2"/>
      </rPr>
      <t xml:space="preserve"> Upslope berm multiplier based on land slope</t>
    </r>
    <r>
      <rPr>
        <i/>
        <sz val="12"/>
        <rFont val="Arial"/>
        <family val="2"/>
      </rPr>
      <t xml:space="preserve"> </t>
    </r>
  </si>
  <si>
    <r>
      <t>d.</t>
    </r>
    <r>
      <rPr>
        <b/>
        <sz val="12"/>
        <rFont val="Arial"/>
        <family val="2"/>
      </rPr>
      <t xml:space="preserve"> Upslope width </t>
    </r>
    <r>
      <rPr>
        <sz val="12"/>
        <rFont val="Arial"/>
        <family val="2"/>
      </rPr>
      <t xml:space="preserve"> </t>
    </r>
  </si>
  <si>
    <r>
      <t xml:space="preserve">e. </t>
    </r>
    <r>
      <rPr>
        <b/>
        <sz val="12"/>
        <rFont val="Arial"/>
        <family val="2"/>
      </rPr>
      <t>Drop in elevation</t>
    </r>
    <r>
      <rPr>
        <sz val="12"/>
        <rFont val="Arial"/>
        <family val="2"/>
      </rPr>
      <t xml:space="preserve"> </t>
    </r>
  </si>
  <si>
    <r>
      <t xml:space="preserve">f. </t>
    </r>
    <r>
      <rPr>
        <b/>
        <sz val="12"/>
        <rFont val="Arial"/>
        <family val="2"/>
      </rPr>
      <t>Downslope mound height</t>
    </r>
    <r>
      <rPr>
        <sz val="12"/>
        <rFont val="Arial"/>
        <family val="2"/>
      </rPr>
      <t xml:space="preserve"> </t>
    </r>
  </si>
  <si>
    <r>
      <t xml:space="preserve">g. </t>
    </r>
    <r>
      <rPr>
        <b/>
        <sz val="12"/>
        <rFont val="Arial"/>
        <family val="2"/>
      </rPr>
      <t>Downslope berm multiplier</t>
    </r>
    <r>
      <rPr>
        <sz val="12"/>
        <rFont val="Arial"/>
        <family val="2"/>
      </rPr>
      <t xml:space="preserve"> based on percent land slope </t>
    </r>
  </si>
  <si>
    <r>
      <t xml:space="preserve">h. </t>
    </r>
    <r>
      <rPr>
        <b/>
        <sz val="12"/>
        <rFont val="Arial"/>
        <family val="2"/>
      </rPr>
      <t>Downslope width</t>
    </r>
    <r>
      <rPr>
        <sz val="12"/>
        <rFont val="Arial"/>
        <family val="2"/>
      </rPr>
      <t xml:space="preserve"> = downslope multiplier(G2g) times downslope mound height(G2f)</t>
    </r>
  </si>
  <si>
    <r>
      <t xml:space="preserve">i. </t>
    </r>
    <r>
      <rPr>
        <b/>
        <sz val="12"/>
        <rFont val="Arial"/>
        <family val="2"/>
      </rPr>
      <t>Select greater of G1 and G2h as the downslope width</t>
    </r>
  </si>
  <si>
    <r>
      <t>j.</t>
    </r>
    <r>
      <rPr>
        <b/>
        <sz val="12"/>
        <rFont val="Arial"/>
        <family val="2"/>
      </rPr>
      <t xml:space="preserve"> Total mound width</t>
    </r>
    <r>
      <rPr>
        <sz val="12"/>
        <rFont val="Arial"/>
        <family val="2"/>
      </rPr>
      <t xml:space="preserve"> </t>
    </r>
  </si>
  <si>
    <r>
      <t>k.</t>
    </r>
    <r>
      <rPr>
        <b/>
        <sz val="12"/>
        <rFont val="Arial"/>
        <family val="2"/>
      </rPr>
      <t xml:space="preserve"> Total mound length</t>
    </r>
  </si>
  <si>
    <r>
      <t xml:space="preserve">a. </t>
    </r>
    <r>
      <rPr>
        <b/>
        <sz val="12"/>
        <rFont val="Arial"/>
        <family val="2"/>
      </rPr>
      <t>Upslope Volume</t>
    </r>
    <r>
      <rPr>
        <sz val="12"/>
        <rFont val="Arial"/>
        <family val="2"/>
      </rPr>
      <t>:</t>
    </r>
  </si>
  <si>
    <r>
      <t>ft</t>
    </r>
    <r>
      <rPr>
        <vertAlign val="superscript"/>
        <sz val="12"/>
        <rFont val="Arial"/>
        <family val="2"/>
      </rPr>
      <t>3</t>
    </r>
  </si>
  <si>
    <r>
      <t xml:space="preserve">b. </t>
    </r>
    <r>
      <rPr>
        <b/>
        <sz val="12"/>
        <rFont val="Arial"/>
        <family val="2"/>
      </rPr>
      <t>Volume under rockbed</t>
    </r>
    <r>
      <rPr>
        <sz val="12"/>
        <rFont val="Arial"/>
        <family val="2"/>
      </rPr>
      <t xml:space="preserve">:  </t>
    </r>
  </si>
  <si>
    <r>
      <t>c. Downslope Volume:  (depth of clean sand + 1) x (downslope berm) x (mound length) / 2 = ft</t>
    </r>
    <r>
      <rPr>
        <vertAlign val="superscript"/>
        <sz val="12"/>
        <rFont val="Arial"/>
        <family val="2"/>
      </rPr>
      <t>3</t>
    </r>
  </si>
  <si>
    <r>
      <t>yds</t>
    </r>
    <r>
      <rPr>
        <vertAlign val="superscript"/>
        <sz val="12"/>
        <rFont val="Arial"/>
        <family val="2"/>
      </rPr>
      <t>3</t>
    </r>
  </si>
  <si>
    <r>
      <t>yds</t>
    </r>
    <r>
      <rPr>
        <vertAlign val="superscript"/>
        <sz val="12"/>
        <rFont val="Arial"/>
        <family val="2"/>
      </rPr>
      <t xml:space="preserve">3 x </t>
    </r>
    <r>
      <rPr>
        <sz val="12"/>
        <rFont val="Arial"/>
        <family val="2"/>
      </rPr>
      <t>1.4</t>
    </r>
  </si>
  <si>
    <r>
      <t>Cubic feet of rock</t>
    </r>
    <r>
      <rPr>
        <i/>
        <sz val="12"/>
        <rFont val="Arial"/>
        <family val="2"/>
      </rPr>
      <t xml:space="preserve"> (Area of rock*depth of rock)</t>
    </r>
  </si>
  <si>
    <r>
      <rPr>
        <b/>
        <sz val="12"/>
        <rFont val="Arial"/>
        <family val="2"/>
      </rPr>
      <t xml:space="preserve">Cubic yards  </t>
    </r>
    <r>
      <rPr>
        <b/>
        <i/>
        <sz val="12"/>
        <rFont val="Arial"/>
        <family val="2"/>
      </rPr>
      <t>(</t>
    </r>
    <r>
      <rPr>
        <i/>
        <sz val="12"/>
        <rFont val="Arial"/>
        <family val="2"/>
      </rPr>
      <t>Divide ft</t>
    </r>
    <r>
      <rPr>
        <i/>
        <vertAlign val="superscript"/>
        <sz val="12"/>
        <rFont val="Arial"/>
        <family val="2"/>
      </rPr>
      <t>3</t>
    </r>
    <r>
      <rPr>
        <i/>
        <sz val="12"/>
        <rFont val="Arial"/>
        <family val="2"/>
      </rPr>
      <t xml:space="preserve"> by 27 ft</t>
    </r>
    <r>
      <rPr>
        <i/>
        <vertAlign val="superscript"/>
        <sz val="12"/>
        <rFont val="Arial"/>
        <family val="2"/>
      </rPr>
      <t>3</t>
    </r>
    <r>
      <rPr>
        <i/>
        <sz val="12"/>
        <rFont val="Arial"/>
        <family val="2"/>
      </rPr>
      <t>/yd</t>
    </r>
    <r>
      <rPr>
        <i/>
        <vertAlign val="superscript"/>
        <sz val="12"/>
        <rFont val="Arial"/>
        <family val="2"/>
      </rPr>
      <t>3</t>
    </r>
    <r>
      <rPr>
        <i/>
        <sz val="12"/>
        <rFont val="Arial"/>
        <family val="2"/>
      </rPr>
      <t>)</t>
    </r>
    <r>
      <rPr>
        <sz val="12"/>
        <rFont val="Arial"/>
        <family val="2"/>
      </rPr>
      <t xml:space="preserve"> </t>
    </r>
  </si>
  <si>
    <r>
      <t>ft</t>
    </r>
    <r>
      <rPr>
        <vertAlign val="superscript"/>
        <sz val="12"/>
        <rFont val="Arial"/>
        <family val="2"/>
      </rPr>
      <t>3</t>
    </r>
    <r>
      <rPr>
        <sz val="12"/>
        <rFont val="Arial"/>
        <family val="2"/>
      </rPr>
      <t xml:space="preserve">      /      27   = </t>
    </r>
  </si>
  <si>
    <r>
      <t>yd</t>
    </r>
    <r>
      <rPr>
        <vertAlign val="superscript"/>
        <sz val="12"/>
        <rFont val="Arial"/>
        <family val="2"/>
      </rPr>
      <t>3</t>
    </r>
  </si>
  <si>
    <r>
      <rPr>
        <b/>
        <sz val="12"/>
        <rFont val="Arial"/>
        <family val="2"/>
      </rPr>
      <t xml:space="preserve">Weight of rock in tons </t>
    </r>
    <r>
      <rPr>
        <sz val="12"/>
        <rFont val="Arial"/>
        <family val="2"/>
      </rPr>
      <t xml:space="preserve"> </t>
    </r>
    <r>
      <rPr>
        <i/>
        <sz val="12"/>
        <rFont val="Arial"/>
        <family val="2"/>
      </rPr>
      <t xml:space="preserve">(cubic yards * 1.4) </t>
    </r>
  </si>
  <si>
    <r>
      <t>yd</t>
    </r>
    <r>
      <rPr>
        <vertAlign val="superscript"/>
        <sz val="12"/>
        <rFont val="Arial"/>
        <family val="2"/>
      </rPr>
      <t xml:space="preserve">3      </t>
    </r>
    <r>
      <rPr>
        <sz val="12"/>
        <rFont val="Arial"/>
        <family val="2"/>
      </rPr>
      <t xml:space="preserve"> X        1.4 ton/yd</t>
    </r>
    <r>
      <rPr>
        <vertAlign val="superscript"/>
        <sz val="12"/>
        <rFont val="Arial"/>
        <family val="2"/>
      </rPr>
      <t>3</t>
    </r>
    <r>
      <rPr>
        <sz val="12"/>
        <rFont val="Arial"/>
        <family val="2"/>
      </rPr>
      <t xml:space="preserve">      =</t>
    </r>
  </si>
  <si>
    <r>
      <t xml:space="preserve">Mound </t>
    </r>
    <r>
      <rPr>
        <sz val="16"/>
        <rFont val="Arial"/>
        <family val="2"/>
      </rPr>
      <t>(Greater than 1%)</t>
    </r>
  </si>
  <si>
    <t xml:space="preserve">Pressure Distribution </t>
  </si>
  <si>
    <r>
      <t>ft</t>
    </r>
    <r>
      <rPr>
        <vertAlign val="superscript"/>
        <sz val="12"/>
        <rFont val="Arial"/>
        <family val="2"/>
      </rPr>
      <t xml:space="preserve">2 </t>
    </r>
    <r>
      <rPr>
        <sz val="12"/>
        <rFont val="Arial"/>
        <family val="2"/>
      </rPr>
      <t xml:space="preserve">    / </t>
    </r>
  </si>
  <si>
    <r>
      <t>ft</t>
    </r>
    <r>
      <rPr>
        <vertAlign val="superscript"/>
        <sz val="12"/>
        <rFont val="Arial"/>
        <family val="2"/>
      </rPr>
      <t>2</t>
    </r>
    <r>
      <rPr>
        <sz val="12"/>
        <rFont val="Arial"/>
        <family val="2"/>
      </rPr>
      <t xml:space="preserve">/ perf </t>
    </r>
  </si>
  <si>
    <r>
      <t>Manifold on End.</t>
    </r>
    <r>
      <rPr>
        <sz val="12"/>
        <rFont val="Arial"/>
        <family val="2"/>
      </rPr>
      <t xml:space="preserve">  If laterals are connected to header pipe </t>
    </r>
  </si>
  <si>
    <r>
      <t xml:space="preserve">Center Manifold. </t>
    </r>
    <r>
      <rPr>
        <sz val="12"/>
        <rFont val="Arial"/>
        <family val="2"/>
      </rPr>
      <t xml:space="preserve"> If perforated lateral system is attached to </t>
    </r>
  </si>
  <si>
    <t xml:space="preserve">In each worksheet, you will notice each cell is colored either blue (or grey depending on your system settings) or yellow. </t>
  </si>
  <si>
    <t>Blue cells are cells that will fill in automatically as you enter values into the yellow cells.</t>
  </si>
  <si>
    <t xml:space="preserve"> Pump Capacity:</t>
  </si>
  <si>
    <r>
      <t>B.  Pressure Distribution</t>
    </r>
    <r>
      <rPr>
        <sz val="12"/>
        <rFont val="Arial"/>
        <family val="2"/>
      </rPr>
      <t xml:space="preserve"> - see pressure design worksheet</t>
    </r>
  </si>
  <si>
    <r>
      <t xml:space="preserve">Special head requirement? </t>
    </r>
    <r>
      <rPr>
        <b/>
        <i/>
        <sz val="12"/>
        <rFont val="Arial"/>
        <family val="2"/>
      </rPr>
      <t>(See Figure - Special Head Requirements)</t>
    </r>
  </si>
  <si>
    <t xml:space="preserve"> 3. Determine total pipe length from pump discharge to soil system discharge point.</t>
  </si>
  <si>
    <t xml:space="preserve">4. Calculate total friction loss </t>
  </si>
  <si>
    <t>by multiplying friction loss (C2) by the equivalent pipe length (C3) and divide by 100.</t>
  </si>
  <si>
    <t>Total head requirement</t>
  </si>
  <si>
    <t xml:space="preserve"> is the sum of elevation difference (A), special head requirments (B), and total friction loss (C4)</t>
  </si>
  <si>
    <r>
      <t xml:space="preserve">Septic tank capacity </t>
    </r>
    <r>
      <rPr>
        <i/>
        <sz val="12"/>
        <rFont val="Arial"/>
        <family val="2"/>
      </rPr>
      <t>(Fig C-1)</t>
    </r>
  </si>
  <si>
    <r>
      <t>ft</t>
    </r>
    <r>
      <rPr>
        <vertAlign val="superscript"/>
        <sz val="12"/>
        <rFont val="Arial"/>
        <family val="2"/>
      </rPr>
      <t>2</t>
    </r>
    <r>
      <rPr>
        <sz val="12"/>
        <rFont val="Arial"/>
        <family val="2"/>
      </rPr>
      <t xml:space="preserve">/gpd </t>
    </r>
  </si>
  <si>
    <r>
      <t>ft</t>
    </r>
    <r>
      <rPr>
        <vertAlign val="superscript"/>
        <sz val="12"/>
        <rFont val="Arial"/>
        <family val="2"/>
      </rPr>
      <t>2</t>
    </r>
    <r>
      <rPr>
        <sz val="12"/>
        <rFont val="Arial"/>
        <family val="2"/>
      </rPr>
      <t xml:space="preserve"> </t>
    </r>
  </si>
  <si>
    <r>
      <t>ft</t>
    </r>
    <r>
      <rPr>
        <vertAlign val="superscript"/>
        <sz val="12"/>
        <rFont val="Arial"/>
        <family val="2"/>
      </rPr>
      <t xml:space="preserve">2 </t>
    </r>
    <r>
      <rPr>
        <sz val="12"/>
        <rFont val="Arial"/>
        <family val="2"/>
      </rPr>
      <t xml:space="preserve">  /</t>
    </r>
  </si>
  <si>
    <r>
      <t>ft</t>
    </r>
    <r>
      <rPr>
        <vertAlign val="superscript"/>
        <sz val="12"/>
        <rFont val="Arial"/>
        <family val="2"/>
      </rPr>
      <t>2</t>
    </r>
    <r>
      <rPr>
        <sz val="12"/>
        <rFont val="Arial"/>
        <family val="2"/>
      </rPr>
      <t xml:space="preserve"> =</t>
    </r>
  </si>
  <si>
    <t>System Information</t>
  </si>
  <si>
    <r>
      <t>B.  Circle area = 3.14 x radius</t>
    </r>
    <r>
      <rPr>
        <vertAlign val="superscript"/>
        <sz val="10"/>
        <rFont val="Arial"/>
        <family val="2"/>
      </rPr>
      <t>2</t>
    </r>
  </si>
  <si>
    <r>
      <t xml:space="preserve">2 </t>
    </r>
    <r>
      <rPr>
        <sz val="10"/>
        <rFont val="Arial"/>
        <family val="2"/>
      </rPr>
      <t>ft  =</t>
    </r>
  </si>
  <si>
    <r>
      <t>ft</t>
    </r>
    <r>
      <rPr>
        <vertAlign val="superscript"/>
        <sz val="10"/>
        <rFont val="Arial"/>
        <family val="2"/>
      </rPr>
      <t>2</t>
    </r>
    <r>
      <rPr>
        <sz val="10"/>
        <rFont val="Arial"/>
        <family val="2"/>
      </rPr>
      <t xml:space="preserve">   x   7.5   /   12in/ft   =</t>
    </r>
  </si>
  <si>
    <r>
      <rPr>
        <b/>
        <sz val="14"/>
        <rFont val="Arial"/>
        <family val="2"/>
      </rPr>
      <t>Calculate gallons to cover pump</t>
    </r>
    <r>
      <rPr>
        <sz val="10"/>
        <rFont val="Arial"/>
        <family val="2"/>
      </rPr>
      <t xml:space="preserve"> </t>
    </r>
  </si>
  <si>
    <r>
      <t xml:space="preserve">A.  Select pump size for 4-5 doses per day.   </t>
    </r>
    <r>
      <rPr>
        <b/>
        <i/>
        <sz val="10"/>
        <rFont val="Arial"/>
        <family val="2"/>
      </rPr>
      <t xml:space="preserve"> </t>
    </r>
  </si>
  <si>
    <r>
      <rPr>
        <b/>
        <sz val="14"/>
        <rFont val="Arial"/>
        <family val="2"/>
      </rPr>
      <t>Calculate volume for alarm</t>
    </r>
    <r>
      <rPr>
        <sz val="10"/>
        <rFont val="Arial"/>
        <family val="2"/>
      </rPr>
      <t xml:space="preserve"> </t>
    </r>
  </si>
  <si>
    <r>
      <rPr>
        <b/>
        <sz val="14"/>
        <rFont val="Arial"/>
        <family val="2"/>
      </rPr>
      <t>Calculate total gallons</t>
    </r>
    <r>
      <rPr>
        <sz val="10"/>
        <rFont val="Arial"/>
        <family val="2"/>
      </rPr>
      <t xml:space="preserve"> </t>
    </r>
  </si>
  <si>
    <r>
      <t xml:space="preserve">Soil loading rate </t>
    </r>
    <r>
      <rPr>
        <b/>
        <i/>
        <sz val="12"/>
        <rFont val="Arial"/>
        <family val="2"/>
      </rPr>
      <t>(see Figure D-33)</t>
    </r>
  </si>
  <si>
    <r>
      <rPr>
        <b/>
        <sz val="12"/>
        <rFont val="Arial"/>
        <family val="2"/>
      </rPr>
      <t xml:space="preserve"> Required area of rock layer</t>
    </r>
    <r>
      <rPr>
        <sz val="12"/>
        <rFont val="Arial"/>
        <family val="2"/>
      </rPr>
      <t xml:space="preserve">: </t>
    </r>
  </si>
  <si>
    <r>
      <t>gpd x 0.83 ft</t>
    </r>
    <r>
      <rPr>
        <vertAlign val="superscript"/>
        <sz val="12"/>
        <rFont val="Arial"/>
        <family val="2"/>
      </rPr>
      <t>2</t>
    </r>
    <r>
      <rPr>
        <sz val="12"/>
        <rFont val="Arial"/>
        <family val="2"/>
      </rPr>
      <t>/gpd =</t>
    </r>
  </si>
  <si>
    <r>
      <t xml:space="preserve"> </t>
    </r>
    <r>
      <rPr>
        <i/>
        <sz val="12"/>
        <rFont val="Arial"/>
        <family val="2"/>
      </rPr>
      <t xml:space="preserve">0.83 ft2/gpd x Linear Loading Rate (LLR) </t>
    </r>
  </si>
  <si>
    <r>
      <rPr>
        <b/>
        <sz val="12"/>
        <rFont val="Arial"/>
        <family val="2"/>
      </rPr>
      <t>Length of rock layer</t>
    </r>
    <r>
      <rPr>
        <sz val="12"/>
        <rFont val="Arial"/>
        <family val="2"/>
      </rPr>
      <t xml:space="preserve">  </t>
    </r>
  </si>
  <si>
    <r>
      <t>ft</t>
    </r>
    <r>
      <rPr>
        <vertAlign val="superscript"/>
        <sz val="12"/>
        <rFont val="Arial"/>
        <family val="2"/>
      </rPr>
      <t>2</t>
    </r>
    <r>
      <rPr>
        <sz val="12"/>
        <rFont val="Arial"/>
        <family val="2"/>
      </rPr>
      <t xml:space="preserve">          /</t>
    </r>
  </si>
  <si>
    <r>
      <t xml:space="preserve">b. </t>
    </r>
    <r>
      <rPr>
        <b/>
        <sz val="12"/>
        <rFont val="Arial"/>
        <family val="2"/>
      </rPr>
      <t>Volume under rockbed</t>
    </r>
    <r>
      <rPr>
        <sz val="12"/>
        <rFont val="Arial"/>
        <family val="2"/>
      </rPr>
      <t xml:space="preserve">  </t>
    </r>
  </si>
  <si>
    <r>
      <t xml:space="preserve">c. </t>
    </r>
    <r>
      <rPr>
        <b/>
        <sz val="12"/>
        <rFont val="Arial"/>
        <family val="2"/>
      </rPr>
      <t xml:space="preserve">Downslope Volume </t>
    </r>
    <r>
      <rPr>
        <sz val="12"/>
        <rFont val="Arial"/>
        <family val="2"/>
      </rPr>
      <t xml:space="preserve"> </t>
    </r>
  </si>
  <si>
    <r>
      <rPr>
        <b/>
        <sz val="12"/>
        <rFont val="Arial"/>
        <family val="2"/>
      </rPr>
      <t>Weight of sand in tons</t>
    </r>
    <r>
      <rPr>
        <sz val="12"/>
        <rFont val="Arial"/>
        <family val="2"/>
      </rPr>
      <t xml:space="preserve"> </t>
    </r>
  </si>
  <si>
    <r>
      <t>yds</t>
    </r>
    <r>
      <rPr>
        <vertAlign val="superscript"/>
        <sz val="12"/>
        <rFont val="Arial"/>
        <family val="2"/>
      </rPr>
      <t xml:space="preserve">3 </t>
    </r>
    <r>
      <rPr>
        <sz val="12"/>
        <rFont val="Arial"/>
        <family val="2"/>
      </rPr>
      <t>x 1.4</t>
    </r>
  </si>
  <si>
    <t>Pipe Diam.</t>
  </si>
  <si>
    <r>
      <t>perforations</t>
    </r>
    <r>
      <rPr>
        <i/>
        <sz val="10"/>
        <rFont val="Arial"/>
        <family val="2"/>
      </rPr>
      <t xml:space="preserve"> (Check figure E-4 to make sure it is ok)</t>
    </r>
  </si>
  <si>
    <r>
      <rPr>
        <b/>
        <sz val="10"/>
        <rFont val="Arial"/>
        <family val="2"/>
      </rPr>
      <t>Flow</t>
    </r>
    <r>
      <rPr>
        <sz val="10"/>
        <rFont val="Arial"/>
        <family val="2"/>
      </rPr>
      <t xml:space="preserve"> </t>
    </r>
  </si>
  <si>
    <r>
      <t># of Perfs</t>
    </r>
    <r>
      <rPr>
        <i/>
        <sz val="10"/>
        <rFont val="Arial"/>
        <family val="2"/>
      </rPr>
      <t xml:space="preserve"> (Check figure E-4)</t>
    </r>
  </si>
  <si>
    <r>
      <t># of Perfs</t>
    </r>
    <r>
      <rPr>
        <i/>
        <sz val="10"/>
        <rFont val="Arial"/>
        <family val="2"/>
      </rPr>
      <t xml:space="preserve"> </t>
    </r>
  </si>
  <si>
    <t>Non-Level</t>
  </si>
  <si>
    <t>Calculate the Total Head = head at orifices (either 1 or 2 ft) + change in elevation(2)</t>
  </si>
  <si>
    <r>
      <t xml:space="preserve">Calculate flow in gallons per minute for Lateral 1 - </t>
    </r>
    <r>
      <rPr>
        <i/>
        <sz val="12"/>
        <rFont val="Arial"/>
        <family val="2"/>
      </rPr>
      <t>Select a spacing and enter in box.</t>
    </r>
  </si>
  <si>
    <r>
      <t xml:space="preserve">Determine flow rate per hole </t>
    </r>
    <r>
      <rPr>
        <i/>
        <sz val="12"/>
        <rFont val="Arial"/>
        <family val="2"/>
      </rPr>
      <t>(See figure E-6)</t>
    </r>
    <r>
      <rPr>
        <b/>
        <i/>
        <sz val="12"/>
        <rFont val="Arial"/>
        <family val="2"/>
      </rPr>
      <t xml:space="preserve">. </t>
    </r>
  </si>
  <si>
    <r>
      <t xml:space="preserve">ft/ 100 ft of pipe </t>
    </r>
    <r>
      <rPr>
        <i/>
        <sz val="12"/>
        <rFont val="Arial"/>
        <family val="2"/>
      </rPr>
      <t>(figure E-9)</t>
    </r>
  </si>
  <si>
    <t>Mound Design Summary</t>
  </si>
  <si>
    <t>Pressure Distribution Summary</t>
  </si>
  <si>
    <t>Perforation Spacing</t>
  </si>
  <si>
    <t>Dosing Chamber Summary</t>
  </si>
  <si>
    <t xml:space="preserve"> Area</t>
  </si>
  <si>
    <t>Gallons per Inch</t>
  </si>
  <si>
    <t>Total Tank Volume</t>
  </si>
  <si>
    <t>Gallons to Cover Pump</t>
  </si>
  <si>
    <t>Total Pump Out Volume</t>
  </si>
  <si>
    <t>Float Seperation Distance</t>
  </si>
  <si>
    <t>Volume for Alarm</t>
  </si>
  <si>
    <t>Total Tank Depth</t>
  </si>
  <si>
    <t>GPI</t>
  </si>
  <si>
    <t>Trench 6" Sidewall</t>
  </si>
  <si>
    <t>Trench 12" Sidewall</t>
  </si>
  <si>
    <t>Trench 18" Sidewall</t>
  </si>
  <si>
    <t>Trench 24" Sidewall</t>
  </si>
  <si>
    <t>Gravity Bed 6 or 12" of Rock</t>
  </si>
  <si>
    <t xml:space="preserve">Pressure Beds 6 or 12" of Rock  </t>
  </si>
  <si>
    <t>Area of Rock</t>
  </si>
  <si>
    <t>Rock Layer Length</t>
  </si>
  <si>
    <t>Rock Layer Width</t>
  </si>
  <si>
    <t>Absorbtion Width</t>
  </si>
  <si>
    <t>&lt;1%</t>
  </si>
  <si>
    <t>Depth of Clean Sand</t>
  </si>
  <si>
    <t>Berm Width</t>
  </si>
  <si>
    <t>Total Landscape Width</t>
  </si>
  <si>
    <t>Additional Width for Absorption</t>
  </si>
  <si>
    <t>Final Berm Width</t>
  </si>
  <si>
    <t>Total Mound Width</t>
  </si>
  <si>
    <t>Total Mound Length</t>
  </si>
  <si>
    <t>Setbacks from Rock Layer</t>
  </si>
  <si>
    <t>&gt;1%</t>
  </si>
  <si>
    <t xml:space="preserve"> Upslope Depth of Clean Sand</t>
  </si>
  <si>
    <t>Mound Height Upslope Edge</t>
  </si>
  <si>
    <t>Upslope Width</t>
  </si>
  <si>
    <t>Downslope Drop in Elevation</t>
  </si>
  <si>
    <t>Downslope Mound Height</t>
  </si>
  <si>
    <t>Downslope Berm Multiplier</t>
  </si>
  <si>
    <t>Downslope Width</t>
  </si>
  <si>
    <t>Mound Height</t>
  </si>
  <si>
    <t>Perforation Size</t>
  </si>
  <si>
    <t>Number of Perforations</t>
  </si>
  <si>
    <t>Number Perf. Laterals</t>
  </si>
  <si>
    <t>Rock Bed Area</t>
  </si>
  <si>
    <t>Square Feet Per Perforation</t>
  </si>
  <si>
    <t>Required Flow Rate</t>
  </si>
  <si>
    <t>Minimum Pipe Size</t>
  </si>
  <si>
    <t xml:space="preserve">A. </t>
  </si>
  <si>
    <t>Average Design Flow</t>
  </si>
  <si>
    <t>1</t>
  </si>
  <si>
    <t xml:space="preserve">Depth to restricting layer </t>
  </si>
  <si>
    <t>Soil Sizing Factor (SSF)</t>
  </si>
  <si>
    <t>Linear Loading Rate (LLR)</t>
  </si>
  <si>
    <t>Land Slope</t>
  </si>
  <si>
    <t>Rock Width</t>
  </si>
  <si>
    <t>Rock absorption width equals LLR(C5) times SSF(C4)  =</t>
  </si>
  <si>
    <t>gpd/ft    x</t>
  </si>
  <si>
    <t xml:space="preserve">E.  </t>
  </si>
  <si>
    <t>System Size</t>
  </si>
  <si>
    <t>The height of the system is</t>
  </si>
  <si>
    <t>Determine upslope berm width</t>
  </si>
  <si>
    <t>b. On slopes &gt; 1%,  Upslope width = upslope multiplier(E2a) times system height (E1)</t>
  </si>
  <si>
    <t>ft      =</t>
  </si>
  <si>
    <t>c.  On slopes &lt; 1%,  upslope width equals( 0.5 x absorption width) + 5 ft</t>
  </si>
  <si>
    <t xml:space="preserve">+      5 ft       = </t>
  </si>
  <si>
    <t>d.  Choose 2b or 2c depending on slope</t>
  </si>
  <si>
    <t>Determine downslope berm width</t>
  </si>
  <si>
    <t xml:space="preserve">b.  Downslope width = downslope multiplier(E3a) times system height (E1) </t>
  </si>
  <si>
    <t>c.  Rock absorption width (D1) + 5 feet  =</t>
  </si>
  <si>
    <t>+  5ft =</t>
  </si>
  <si>
    <t>d.  On slopes &gt;1%, downslope width equals the larger of 3b and 3c</t>
  </si>
  <si>
    <t xml:space="preserve">ft      </t>
  </si>
  <si>
    <t>e.  On slopes &lt; 1% downslope width equals 0.5 X absorption width +5 ft</t>
  </si>
  <si>
    <t>f.  Choose 2d or 2e depending on slope</t>
  </si>
  <si>
    <t>System width is the sum of upslope width(E2d) plus downslope width(E3f)</t>
  </si>
  <si>
    <t>ft       +</t>
  </si>
  <si>
    <t>The rock layer length is the flow (A) divided by the LLR(C5)</t>
  </si>
  <si>
    <t>gpd    /</t>
  </si>
  <si>
    <t>gpd/ft   =</t>
  </si>
  <si>
    <t>ft     +</t>
  </si>
  <si>
    <t>Rock Volume</t>
  </si>
  <si>
    <t>Rock Area = Length(E5) x Width(D1+ 1ft)</t>
  </si>
  <si>
    <t>ft     x           (</t>
  </si>
  <si>
    <t>ft  + 1ft)    =</t>
  </si>
  <si>
    <t xml:space="preserve">Multiply rock area(F1) by depth of rock(1ft) and divide by 2 </t>
  </si>
  <si>
    <t>because the shape is triangular</t>
  </si>
  <si>
    <t>F2/ 27 = cubic yards</t>
  </si>
  <si>
    <t>/  27=</t>
  </si>
  <si>
    <t>F3 x 1.4 = tons</t>
  </si>
  <si>
    <t xml:space="preserve"> x 1.4=</t>
  </si>
  <si>
    <t>5</t>
  </si>
  <si>
    <t xml:space="preserve">Add in 10% extra for constructability = </t>
  </si>
  <si>
    <t>1.1        x</t>
  </si>
  <si>
    <t>Upslope Width (E2d)</t>
  </si>
  <si>
    <t xml:space="preserve">    Upslope Width</t>
  </si>
  <si>
    <t>Rock Bed</t>
  </si>
  <si>
    <t xml:space="preserve">                    Upslope Width (E2f)</t>
  </si>
  <si>
    <t xml:space="preserve">   (E2d)</t>
  </si>
  <si>
    <t>Width(D1)</t>
  </si>
  <si>
    <t>Total Width (E4)</t>
  </si>
  <si>
    <t xml:space="preserve">Length (E5)   </t>
  </si>
  <si>
    <t>Downslope Width (E3f)</t>
  </si>
  <si>
    <t xml:space="preserve">                     Total Length (E6)</t>
  </si>
  <si>
    <t>Rock Width (D1)</t>
  </si>
  <si>
    <t>Upslope Berm (E2d)</t>
  </si>
  <si>
    <t>Downslope Berm (E3f)</t>
  </si>
  <si>
    <t>At Grade</t>
  </si>
  <si>
    <r>
      <t xml:space="preserve">Percolation rate </t>
    </r>
    <r>
      <rPr>
        <i/>
        <sz val="12"/>
        <rFont val="Arial"/>
        <family val="2"/>
      </rPr>
      <t>if available</t>
    </r>
  </si>
  <si>
    <r>
      <t>ft</t>
    </r>
    <r>
      <rPr>
        <vertAlign val="superscript"/>
        <sz val="12"/>
        <rFont val="Arial"/>
        <family val="2"/>
      </rPr>
      <t>2</t>
    </r>
    <r>
      <rPr>
        <sz val="12"/>
        <rFont val="Arial"/>
        <family val="2"/>
      </rPr>
      <t>/gpd     =</t>
    </r>
  </si>
  <si>
    <r>
      <t>ft</t>
    </r>
    <r>
      <rPr>
        <vertAlign val="superscript"/>
        <sz val="12"/>
        <rFont val="Arial"/>
        <family val="2"/>
      </rPr>
      <t xml:space="preserve">2   </t>
    </r>
    <r>
      <rPr>
        <sz val="12"/>
        <rFont val="Arial"/>
        <family val="2"/>
      </rPr>
      <t xml:space="preserve"> x 1ft  /2 =</t>
    </r>
  </si>
  <si>
    <r>
      <t>gpd/ft</t>
    </r>
    <r>
      <rPr>
        <vertAlign val="superscript"/>
        <sz val="12"/>
        <rFont val="Arial"/>
        <family val="2"/>
      </rPr>
      <t xml:space="preserve">2 </t>
    </r>
    <r>
      <rPr>
        <i/>
        <sz val="12"/>
        <rFont val="Arial"/>
        <family val="2"/>
      </rPr>
      <t>(See Table D-15)</t>
    </r>
  </si>
  <si>
    <t>Linear loading rate</t>
  </si>
  <si>
    <t>gpd/ft</t>
  </si>
  <si>
    <t xml:space="preserve">gpd/ft </t>
  </si>
  <si>
    <t>Total length is the sum of upslope width(E2d), rock layer length(E5) and upslope width (E2d)</t>
  </si>
  <si>
    <t>(See Figure D-42)</t>
  </si>
  <si>
    <r>
      <t>ft</t>
    </r>
    <r>
      <rPr>
        <vertAlign val="superscript"/>
        <sz val="12"/>
        <color theme="1"/>
        <rFont val="Arial"/>
        <family val="2"/>
      </rPr>
      <t>2</t>
    </r>
  </si>
  <si>
    <t>Rock Length</t>
  </si>
  <si>
    <t>Rock Area</t>
  </si>
  <si>
    <t>Cubic Yards Rock</t>
  </si>
  <si>
    <r>
      <t>yd</t>
    </r>
    <r>
      <rPr>
        <vertAlign val="superscript"/>
        <sz val="12"/>
        <color theme="1"/>
        <rFont val="Arial"/>
        <family val="2"/>
      </rPr>
      <t>3</t>
    </r>
  </si>
  <si>
    <t>Weight of Rock</t>
  </si>
  <si>
    <t>Height of System</t>
  </si>
  <si>
    <t>Upslope Berm Width</t>
  </si>
  <si>
    <t>Downslope Berm Width</t>
  </si>
  <si>
    <t>Total Length</t>
  </si>
  <si>
    <t>System Type</t>
  </si>
  <si>
    <t>Scale:</t>
  </si>
  <si>
    <t>911 Address:</t>
  </si>
  <si>
    <t xml:space="preserve">Percolation Test </t>
  </si>
  <si>
    <r>
      <t>a.  Upslope multiplier based on percent land slope</t>
    </r>
    <r>
      <rPr>
        <i/>
        <sz val="12"/>
        <rFont val="Arial"/>
        <family val="2"/>
      </rPr>
      <t xml:space="preserve"> </t>
    </r>
  </si>
  <si>
    <t xml:space="preserve">a.  Downslope multiplier based on percent land slope </t>
  </si>
  <si>
    <t>System  Type (Check boxes)</t>
  </si>
  <si>
    <t>ft/gpd       =</t>
  </si>
  <si>
    <t>Tax ID#:</t>
  </si>
  <si>
    <t>SSTS Design Summary</t>
  </si>
  <si>
    <t>Design based on the University of Minnesotas 2014 SSTS Excel File.   Modified by Jared House, Greg Lillemon, and the County for local use.</t>
  </si>
  <si>
    <t xml:space="preserve">Perf Size </t>
  </si>
  <si>
    <t xml:space="preserve">Perf Spacing </t>
  </si>
  <si>
    <t>Number of Perfs/lateral</t>
  </si>
  <si>
    <t xml:space="preserve">Dosing Chamber Sizing </t>
  </si>
  <si>
    <t>Boring/Pit 1</t>
  </si>
  <si>
    <t>Boring/Pit 2</t>
  </si>
  <si>
    <t>Boring/Pit 3</t>
  </si>
  <si>
    <t>Boring Elevations</t>
  </si>
  <si>
    <t>Pump</t>
  </si>
  <si>
    <t>Should be between X and X</t>
  </si>
  <si>
    <t xml:space="preserve">Trench or Bed </t>
  </si>
  <si>
    <t>Select one type of system</t>
  </si>
  <si>
    <t>Self generate from above selection</t>
  </si>
  <si>
    <t>Trench or Bed</t>
  </si>
  <si>
    <t>Legal Description</t>
  </si>
  <si>
    <t>Designer</t>
  </si>
  <si>
    <t>Installer</t>
  </si>
  <si>
    <t>Size</t>
  </si>
  <si>
    <t>Gls</t>
  </si>
  <si>
    <t>Setback to OHWL</t>
  </si>
  <si>
    <t>Setback to Wetland</t>
  </si>
  <si>
    <t>Setback to dwelling</t>
  </si>
  <si>
    <t>Setback to non-dwelling</t>
  </si>
  <si>
    <t>Setback to nearest property line</t>
  </si>
  <si>
    <t>Setback to road right-of-way</t>
  </si>
  <si>
    <t>Setback to nearest well</t>
  </si>
  <si>
    <t>TANK</t>
  </si>
  <si>
    <t>DRAINFIELD</t>
  </si>
  <si>
    <t>Ft</t>
  </si>
  <si>
    <t>2. Soils</t>
  </si>
  <si>
    <t>4. Percolation Test</t>
  </si>
  <si>
    <t>3. Site Map</t>
  </si>
  <si>
    <t>5. Trench or Bed</t>
  </si>
  <si>
    <t>6. Mound System &lt;1%</t>
  </si>
  <si>
    <t>7. Mound System &gt;1%</t>
  </si>
  <si>
    <t>8. At Grade System</t>
  </si>
  <si>
    <t>9. Pressure Distribution</t>
  </si>
  <si>
    <t>10. Pump Sheet</t>
  </si>
  <si>
    <t>11. Non-Level</t>
  </si>
  <si>
    <t>12. Dosing Chamber</t>
  </si>
  <si>
    <t>13. Summary Sheet</t>
  </si>
  <si>
    <t>These Design forms included in this file are intended to meet the Grant Counties SSTS rules.  There are 13 worksheets and additional supporting information in the SSTS Basic Design Form Workbook, they are:</t>
  </si>
  <si>
    <t>I hereby certify that I have completed this work in accordance with all applicale ordinances, rules and laws.</t>
  </si>
  <si>
    <t>(licence #)</t>
  </si>
  <si>
    <t>Local Unit of Government Approval</t>
  </si>
  <si>
    <t>(registration #)</t>
  </si>
  <si>
    <t>Rock Bed Area for Mound Systems. If Trench, Bed or At-Grade Design Utilize Above Areas.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</si>
</sst>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
    <numFmt numFmtId="166" formatCode="_([$€-2]* #,##0.00_);_([$€-2]* \(#,##0.00\);_([$€-2]* &quot;-&quot;??_)"/>
    <numFmt numFmtId="167" formatCode="[$-409]h:mm\ AM/PM;@"/>
    <numFmt numFmtId="168" formatCode="[&lt;=9999999]###\-####;\(###\)\ ###\-####"/>
    <numFmt numFmtId="169" formatCode="#\ ??/16"/>
    <numFmt numFmtId="170" formatCode="#\ ???/???"/>
    <numFmt numFmtId="171" formatCode="0;\-0;;@"/>
  </numFmts>
  <fonts count="62">
    <font>
      <sz val="11"/>
      <color theme="1"/>
      <name val="Calibri"/>
      <family val="2"/>
      <scheme val="minor"/>
    </font>
    <font>
      <sz val="11"/>
      <color theme="1"/>
      <name val="Calibri"/>
      <family val="2"/>
      <scheme val="minor"/>
    </font>
    <font>
      <sz val="10"/>
      <name val="Arial"/>
      <family val="2"/>
    </font>
    <font>
      <sz val="10"/>
      <name val="Arial Narrow"/>
      <family val="2"/>
    </font>
    <font>
      <b/>
      <sz val="10"/>
      <name val="Arial Narrow"/>
      <family val="2"/>
    </font>
    <font>
      <b/>
      <sz val="16"/>
      <name val="Arial Narrow"/>
      <family val="2"/>
    </font>
    <font>
      <b/>
      <sz val="12"/>
      <name val="Arial Narrow"/>
      <family val="2"/>
    </font>
    <font>
      <sz val="14"/>
      <name val="Arial Narrow"/>
      <family val="2"/>
    </font>
    <font>
      <b/>
      <sz val="14"/>
      <name val="Arial Narrow"/>
      <family val="2"/>
    </font>
    <font>
      <sz val="10"/>
      <name val="Arial"/>
      <family val="2"/>
    </font>
    <font>
      <b/>
      <sz val="10"/>
      <name val="Arial"/>
      <family val="2"/>
    </font>
    <font>
      <i/>
      <sz val="10"/>
      <name val="Arial"/>
      <family val="2"/>
    </font>
    <font>
      <b/>
      <sz val="14"/>
      <name val="Arial"/>
      <family val="2"/>
    </font>
    <font>
      <sz val="14"/>
      <name val="Arial"/>
      <family val="2"/>
    </font>
    <font>
      <sz val="12"/>
      <name val="Arial Narrow"/>
      <family val="2"/>
    </font>
    <font>
      <sz val="10"/>
      <color indexed="8"/>
      <name val="Arial"/>
      <family val="2"/>
    </font>
    <font>
      <b/>
      <i/>
      <sz val="10"/>
      <color indexed="16"/>
      <name val="Arial"/>
      <family val="2"/>
    </font>
    <font>
      <sz val="9"/>
      <name val="Geneva"/>
    </font>
    <font>
      <sz val="9"/>
      <name val="Times New Roman"/>
      <family val="1"/>
    </font>
    <font>
      <sz val="12"/>
      <name val="Times New Roman"/>
      <family val="1"/>
    </font>
    <font>
      <b/>
      <sz val="12"/>
      <name val="Times New Roman"/>
      <family val="1"/>
    </font>
    <font>
      <sz val="12"/>
      <name val="Geneva"/>
    </font>
    <font>
      <i/>
      <sz val="12"/>
      <name val="Times New Roman"/>
      <family val="1"/>
    </font>
    <font>
      <sz val="11"/>
      <name val="Times New Roman"/>
      <family val="1"/>
    </font>
    <font>
      <b/>
      <sz val="14"/>
      <name val="Times New Roman"/>
      <family val="1"/>
    </font>
    <font>
      <sz val="9"/>
      <color indexed="9"/>
      <name val="Times New Roman"/>
      <family val="1"/>
    </font>
    <font>
      <sz val="10"/>
      <name val="Times New Roman"/>
      <family val="1"/>
    </font>
    <font>
      <sz val="11"/>
      <color indexed="8"/>
      <name val="Calibri"/>
      <family val="2"/>
    </font>
    <font>
      <sz val="8"/>
      <name val="Tahoma"/>
      <family val="2"/>
    </font>
    <font>
      <b/>
      <sz val="10"/>
      <name val="Times New Roman"/>
      <family val="1"/>
    </font>
    <font>
      <b/>
      <u/>
      <sz val="10"/>
      <name val="Times New Roman"/>
      <family val="1"/>
    </font>
    <font>
      <b/>
      <u/>
      <sz val="12"/>
      <name val="Times New Roman"/>
      <family val="1"/>
    </font>
    <font>
      <sz val="10"/>
      <name val="Trebuchet MS"/>
      <family val="2"/>
    </font>
    <font>
      <u/>
      <sz val="10"/>
      <color indexed="12"/>
      <name val="Arial"/>
      <family val="2"/>
    </font>
    <font>
      <b/>
      <sz val="20"/>
      <name val="Trebuchet MS"/>
      <family val="2"/>
    </font>
    <font>
      <sz val="12"/>
      <name val="Arial"/>
      <family val="2"/>
    </font>
    <font>
      <b/>
      <sz val="24"/>
      <color indexed="9"/>
      <name val="Arial"/>
      <family val="2"/>
    </font>
    <font>
      <sz val="9"/>
      <color indexed="9"/>
      <name val="Arial"/>
      <family val="2"/>
    </font>
    <font>
      <b/>
      <sz val="12"/>
      <name val="Arial"/>
      <family val="2"/>
    </font>
    <font>
      <sz val="9"/>
      <name val="Arial"/>
      <family val="2"/>
    </font>
    <font>
      <b/>
      <sz val="18"/>
      <name val="Arial"/>
      <family val="2"/>
    </font>
    <font>
      <i/>
      <sz val="12"/>
      <name val="Arial"/>
      <family val="2"/>
    </font>
    <font>
      <sz val="11"/>
      <color theme="1"/>
      <name val="Arial"/>
      <family val="2"/>
    </font>
    <font>
      <vertAlign val="superscript"/>
      <sz val="12"/>
      <name val="Arial"/>
      <family val="2"/>
    </font>
    <font>
      <b/>
      <sz val="25"/>
      <name val="Arial"/>
      <family val="2"/>
    </font>
    <font>
      <sz val="26"/>
      <name val="Arial"/>
      <family val="2"/>
    </font>
    <font>
      <sz val="11"/>
      <name val="Arial"/>
      <family val="2"/>
    </font>
    <font>
      <b/>
      <sz val="9"/>
      <name val="Arial"/>
      <family val="2"/>
    </font>
    <font>
      <sz val="16"/>
      <name val="Arial"/>
      <family val="2"/>
    </font>
    <font>
      <b/>
      <i/>
      <sz val="10"/>
      <name val="Arial"/>
      <family val="2"/>
    </font>
    <font>
      <vertAlign val="superscript"/>
      <sz val="10"/>
      <name val="Arial"/>
      <family val="2"/>
    </font>
    <font>
      <sz val="20"/>
      <name val="Arial"/>
      <family val="2"/>
    </font>
    <font>
      <sz val="12"/>
      <color theme="1"/>
      <name val="Arial"/>
      <family val="2"/>
    </font>
    <font>
      <b/>
      <i/>
      <sz val="12"/>
      <name val="Arial"/>
      <family val="2"/>
    </font>
    <font>
      <i/>
      <vertAlign val="superscript"/>
      <sz val="12"/>
      <name val="Arial"/>
      <family val="2"/>
    </font>
    <font>
      <sz val="20"/>
      <color theme="1"/>
      <name val="Arial"/>
      <family val="2"/>
    </font>
    <font>
      <sz val="10"/>
      <color theme="1"/>
      <name val="Arial"/>
      <family val="2"/>
    </font>
    <font>
      <b/>
      <sz val="10"/>
      <color theme="1"/>
      <name val="Arial"/>
      <family val="2"/>
    </font>
    <font>
      <u/>
      <sz val="10"/>
      <name val="Arial"/>
      <family val="2"/>
    </font>
    <font>
      <b/>
      <sz val="12"/>
      <color theme="1"/>
      <name val="Arial"/>
      <family val="2"/>
    </font>
    <font>
      <vertAlign val="superscript"/>
      <sz val="12"/>
      <color theme="1"/>
      <name val="Arial"/>
      <family val="2"/>
    </font>
    <font>
      <b/>
      <sz val="8"/>
      <name val="Arial"/>
      <family val="2"/>
    </font>
  </fonts>
  <fills count="1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9"/>
        <bgColor indexed="24"/>
      </patternFill>
    </fill>
    <fill>
      <patternFill patternType="solid">
        <fgColor indexed="22"/>
        <bgColor indexed="24"/>
      </patternFill>
    </fill>
    <fill>
      <patternFill patternType="solid">
        <fgColor rgb="FFFFFF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0"/>
        <bgColor indexed="64"/>
      </patternFill>
    </fill>
  </fills>
  <borders count="52">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21"/>
      </right>
      <top/>
      <bottom style="thick">
        <color indexed="21"/>
      </bottom>
      <diagonal/>
    </border>
    <border>
      <left/>
      <right/>
      <top/>
      <bottom style="thick">
        <color indexed="21"/>
      </bottom>
      <diagonal/>
    </border>
    <border>
      <left style="thin">
        <color indexed="21"/>
      </left>
      <right/>
      <top/>
      <bottom style="thick">
        <color indexed="21"/>
      </bottom>
      <diagonal/>
    </border>
    <border>
      <left/>
      <right style="thin">
        <color indexed="21"/>
      </right>
      <top/>
      <bottom/>
      <diagonal/>
    </border>
    <border>
      <left style="thin">
        <color indexed="21"/>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right/>
      <top style="thick">
        <color indexed="21"/>
      </top>
      <bottom/>
      <diagonal/>
    </border>
    <border>
      <left style="thin">
        <color indexed="21"/>
      </left>
      <right/>
      <top style="thick">
        <color indexed="21"/>
      </top>
      <bottom/>
      <diagonal/>
    </border>
    <border>
      <left/>
      <right style="thin">
        <color indexed="21"/>
      </right>
      <top style="thick">
        <color indexed="21"/>
      </top>
      <bottom/>
      <diagonal/>
    </border>
    <border>
      <left style="thin">
        <color indexed="21"/>
      </left>
      <right/>
      <top style="thin">
        <color indexed="21"/>
      </top>
      <bottom/>
      <diagonal/>
    </border>
    <border>
      <left/>
      <right/>
      <top style="thin">
        <color indexed="21"/>
      </top>
      <bottom/>
      <diagonal/>
    </border>
    <border>
      <left/>
      <right style="thin">
        <color indexed="21"/>
      </right>
      <top style="thin">
        <color indexed="21"/>
      </top>
      <bottom/>
      <diagonal/>
    </border>
    <border>
      <left style="medium">
        <color indexed="64"/>
      </left>
      <right style="medium">
        <color indexed="64"/>
      </right>
      <top style="medium">
        <color indexed="64"/>
      </top>
      <bottom style="medium">
        <color indexed="64"/>
      </bottom>
      <diagonal/>
    </border>
    <border>
      <left style="thick">
        <color rgb="FFFFFF00"/>
      </left>
      <right style="thick">
        <color rgb="FFFFFF00"/>
      </right>
      <top style="thin">
        <color indexed="21"/>
      </top>
      <bottom/>
      <diagonal/>
    </border>
    <border>
      <left style="thick">
        <color rgb="FFFFFF00"/>
      </left>
      <right style="thick">
        <color rgb="FFFFFF00"/>
      </right>
      <top/>
      <bottom/>
      <diagonal/>
    </border>
    <border>
      <left style="thick">
        <color rgb="FFFFFF00"/>
      </left>
      <right style="thick">
        <color rgb="FFFFFF00"/>
      </right>
      <top/>
      <bottom style="thick">
        <color indexed="21"/>
      </bottom>
      <diagonal/>
    </border>
    <border>
      <left style="medium">
        <color rgb="FFFFFF00"/>
      </left>
      <right style="medium">
        <color rgb="FFFFFF00"/>
      </right>
      <top style="thin">
        <color indexed="64"/>
      </top>
      <bottom style="thin">
        <color indexed="64"/>
      </bottom>
      <diagonal/>
    </border>
    <border>
      <left style="medium">
        <color rgb="FFFFFF00"/>
      </left>
      <right style="medium">
        <color rgb="FFFFFF00"/>
      </right>
      <top/>
      <bottom style="thin">
        <color indexed="64"/>
      </bottom>
      <diagonal/>
    </border>
    <border>
      <left/>
      <right/>
      <top/>
      <bottom style="thick">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indexed="64"/>
      </left>
      <right style="thin">
        <color theme="0" tint="-0.14996795556505021"/>
      </right>
      <top style="medium">
        <color indexed="64"/>
      </top>
      <bottom style="thin">
        <color theme="0" tint="-0.14996795556505021"/>
      </bottom>
      <diagonal/>
    </border>
    <border>
      <left style="thin">
        <color theme="0" tint="-0.14996795556505021"/>
      </left>
      <right style="thin">
        <color theme="0" tint="-0.14996795556505021"/>
      </right>
      <top style="medium">
        <color indexed="64"/>
      </top>
      <bottom style="thin">
        <color theme="0" tint="-0.14996795556505021"/>
      </bottom>
      <diagonal/>
    </border>
    <border>
      <left style="thin">
        <color theme="0" tint="-0.14996795556505021"/>
      </left>
      <right style="medium">
        <color indexed="64"/>
      </right>
      <top style="medium">
        <color indexed="64"/>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style="medium">
        <color indexed="64"/>
      </right>
      <top style="thin">
        <color theme="0" tint="-0.14996795556505021"/>
      </top>
      <bottom style="medium">
        <color indexed="64"/>
      </bottom>
      <diagonal/>
    </border>
  </borders>
  <cellStyleXfs count="59">
    <xf numFmtId="0" fontId="0" fillId="0" borderId="0"/>
    <xf numFmtId="0" fontId="2" fillId="0" borderId="0"/>
    <xf numFmtId="0" fontId="17" fillId="0" borderId="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 fillId="0" borderId="0"/>
    <xf numFmtId="0" fontId="9" fillId="0" borderId="0"/>
    <xf numFmtId="0" fontId="9" fillId="0" borderId="0"/>
    <xf numFmtId="0" fontId="9" fillId="0" borderId="0"/>
    <xf numFmtId="0" fontId="9" fillId="0" borderId="0"/>
    <xf numFmtId="0" fontId="27" fillId="0" borderId="0"/>
    <xf numFmtId="0" fontId="27" fillId="0" borderId="0"/>
    <xf numFmtId="0" fontId="27" fillId="0" borderId="0"/>
    <xf numFmtId="0" fontId="27" fillId="0" borderId="0"/>
    <xf numFmtId="0" fontId="27" fillId="0" borderId="0"/>
    <xf numFmtId="0" fontId="27" fillId="0" borderId="0"/>
    <xf numFmtId="0" fontId="9" fillId="0" borderId="0"/>
    <xf numFmtId="0" fontId="9" fillId="0" borderId="0"/>
    <xf numFmtId="0" fontId="27" fillId="0" borderId="0"/>
    <xf numFmtId="0" fontId="27" fillId="0" borderId="0"/>
    <xf numFmtId="0" fontId="27" fillId="0" borderId="0"/>
    <xf numFmtId="0" fontId="27" fillId="0" borderId="0"/>
    <xf numFmtId="0" fontId="27" fillId="0" borderId="0"/>
    <xf numFmtId="0" fontId="27" fillId="0" borderId="0"/>
    <xf numFmtId="0" fontId="9" fillId="0" borderId="0"/>
    <xf numFmtId="0" fontId="9" fillId="0" borderId="0"/>
    <xf numFmtId="0" fontId="9" fillId="0" borderId="0"/>
    <xf numFmtId="0" fontId="27"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2" fillId="0" borderId="0"/>
    <xf numFmtId="0" fontId="2" fillId="0" borderId="0"/>
    <xf numFmtId="0" fontId="33" fillId="0" borderId="0" applyNumberFormat="0" applyFill="0" applyBorder="0" applyAlignment="0" applyProtection="0">
      <alignment vertical="top"/>
      <protection locked="0"/>
    </xf>
  </cellStyleXfs>
  <cellXfs count="869">
    <xf numFmtId="0" fontId="0" fillId="0" borderId="0" xfId="0"/>
    <xf numFmtId="0" fontId="3" fillId="0" borderId="0" xfId="1" applyFont="1"/>
    <xf numFmtId="0" fontId="3" fillId="0" borderId="0" xfId="1" applyFont="1" applyAlignment="1">
      <alignment horizontal="center"/>
    </xf>
    <xf numFmtId="49" fontId="3" fillId="0" borderId="0" xfId="1" applyNumberFormat="1" applyFont="1"/>
    <xf numFmtId="0" fontId="3" fillId="0" borderId="0" xfId="1" applyFont="1" applyBorder="1"/>
    <xf numFmtId="0" fontId="7" fillId="0" borderId="0" xfId="1" applyFont="1"/>
    <xf numFmtId="0" fontId="8" fillId="0" borderId="0" xfId="1" applyFont="1"/>
    <xf numFmtId="0" fontId="4" fillId="0" borderId="0" xfId="1" applyFont="1"/>
    <xf numFmtId="0" fontId="5" fillId="0" borderId="0" xfId="1" applyFont="1"/>
    <xf numFmtId="0" fontId="2" fillId="0" borderId="0" xfId="1"/>
    <xf numFmtId="0" fontId="2" fillId="0" borderId="0" xfId="1" applyBorder="1"/>
    <xf numFmtId="0" fontId="2" fillId="0" borderId="0" xfId="1" applyAlignment="1">
      <alignment horizontal="right"/>
    </xf>
    <xf numFmtId="49" fontId="2" fillId="0" borderId="0" xfId="1" applyNumberFormat="1" applyAlignment="1">
      <alignment horizontal="left"/>
    </xf>
    <xf numFmtId="0" fontId="11" fillId="0" borderId="0" xfId="1" applyFont="1"/>
    <xf numFmtId="0" fontId="10" fillId="0" borderId="0" xfId="1" applyFont="1"/>
    <xf numFmtId="0" fontId="9" fillId="0" borderId="0" xfId="1" applyFont="1"/>
    <xf numFmtId="0" fontId="12" fillId="0" borderId="0" xfId="1" applyFont="1"/>
    <xf numFmtId="0" fontId="13" fillId="0" borderId="0" xfId="1" applyFont="1"/>
    <xf numFmtId="0" fontId="14" fillId="0" borderId="0" xfId="1" applyFont="1"/>
    <xf numFmtId="0" fontId="14" fillId="0" borderId="0" xfId="1" applyFont="1" applyAlignment="1">
      <alignment horizontal="center"/>
    </xf>
    <xf numFmtId="0" fontId="14" fillId="0" borderId="0" xfId="1" applyFont="1" applyBorder="1"/>
    <xf numFmtId="0" fontId="7" fillId="0" borderId="0" xfId="1" applyFont="1" applyBorder="1"/>
    <xf numFmtId="0" fontId="15" fillId="4" borderId="18" xfId="1" applyFont="1" applyFill="1" applyBorder="1" applyAlignment="1">
      <alignment horizontal="center"/>
    </xf>
    <xf numFmtId="164" fontId="15" fillId="4" borderId="19" xfId="1" applyNumberFormat="1" applyFont="1" applyFill="1" applyBorder="1" applyAlignment="1">
      <alignment horizontal="center"/>
    </xf>
    <xf numFmtId="0" fontId="15" fillId="4" borderId="19" xfId="1" applyFont="1" applyFill="1" applyBorder="1" applyAlignment="1">
      <alignment horizontal="center"/>
    </xf>
    <xf numFmtId="0" fontId="15" fillId="4" borderId="20" xfId="1" applyFont="1" applyFill="1" applyBorder="1" applyAlignment="1">
      <alignment horizontal="center"/>
    </xf>
    <xf numFmtId="0" fontId="15" fillId="5" borderId="21" xfId="1" applyFont="1" applyFill="1" applyBorder="1" applyAlignment="1">
      <alignment horizontal="center"/>
    </xf>
    <xf numFmtId="164" fontId="15" fillId="5" borderId="0" xfId="1" applyNumberFormat="1" applyFont="1" applyFill="1" applyBorder="1" applyAlignment="1">
      <alignment horizontal="center"/>
    </xf>
    <xf numFmtId="0" fontId="15" fillId="5" borderId="0" xfId="1" applyFont="1" applyFill="1" applyBorder="1" applyAlignment="1">
      <alignment horizontal="center"/>
    </xf>
    <xf numFmtId="0" fontId="15" fillId="5" borderId="22" xfId="1" applyFont="1" applyFill="1" applyBorder="1" applyAlignment="1">
      <alignment horizontal="center"/>
    </xf>
    <xf numFmtId="0" fontId="15" fillId="4" borderId="21" xfId="1" applyFont="1" applyFill="1" applyBorder="1" applyAlignment="1">
      <alignment horizontal="center"/>
    </xf>
    <xf numFmtId="164" fontId="15" fillId="4" borderId="0" xfId="1" applyNumberFormat="1" applyFont="1" applyFill="1" applyBorder="1" applyAlignment="1">
      <alignment horizontal="center"/>
    </xf>
    <xf numFmtId="0" fontId="15" fillId="4" borderId="0" xfId="1" applyFont="1" applyFill="1" applyBorder="1" applyAlignment="1">
      <alignment horizontal="center"/>
    </xf>
    <xf numFmtId="0" fontId="15" fillId="4" borderId="22" xfId="1" applyFont="1" applyFill="1" applyBorder="1" applyAlignment="1">
      <alignment horizontal="center"/>
    </xf>
    <xf numFmtId="49" fontId="9" fillId="0" borderId="0" xfId="1" applyNumberFormat="1" applyFont="1"/>
    <xf numFmtId="49" fontId="14" fillId="0" borderId="0" xfId="1" applyNumberFormat="1" applyFont="1"/>
    <xf numFmtId="0" fontId="6" fillId="0" borderId="0" xfId="1" applyFont="1"/>
    <xf numFmtId="0" fontId="18" fillId="0" borderId="0" xfId="2" applyFont="1"/>
    <xf numFmtId="0" fontId="18" fillId="0" borderId="0" xfId="2" applyFont="1" applyBorder="1"/>
    <xf numFmtId="0" fontId="19" fillId="0" borderId="0" xfId="2" applyFont="1" applyBorder="1" applyAlignment="1">
      <alignment horizontal="center"/>
    </xf>
    <xf numFmtId="0" fontId="19" fillId="0" borderId="0" xfId="2" applyFont="1"/>
    <xf numFmtId="0" fontId="19" fillId="0" borderId="0" xfId="2" applyFont="1" applyBorder="1"/>
    <xf numFmtId="0" fontId="19" fillId="0" borderId="0" xfId="2" applyFont="1" applyAlignment="1">
      <alignment horizontal="right"/>
    </xf>
    <xf numFmtId="0" fontId="23" fillId="0" borderId="0" xfId="2" applyFont="1"/>
    <xf numFmtId="0" fontId="0" fillId="0" borderId="0" xfId="0"/>
    <xf numFmtId="0" fontId="16" fillId="5" borderId="30" xfId="1" applyFont="1" applyFill="1" applyBorder="1" applyAlignment="1">
      <alignment horizontal="center" wrapText="1"/>
    </xf>
    <xf numFmtId="0" fontId="16" fillId="5" borderId="31" xfId="1" applyFont="1" applyFill="1" applyBorder="1" applyAlignment="1">
      <alignment horizontal="center"/>
    </xf>
    <xf numFmtId="0" fontId="16" fillId="5" borderId="32" xfId="1" applyFont="1" applyFill="1" applyBorder="1" applyAlignment="1">
      <alignment horizontal="center" wrapText="1"/>
    </xf>
    <xf numFmtId="0" fontId="15" fillId="5" borderId="33" xfId="1" applyFont="1" applyFill="1" applyBorder="1" applyAlignment="1">
      <alignment horizontal="center"/>
    </xf>
    <xf numFmtId="0" fontId="15" fillId="5" borderId="34" xfId="1" applyFont="1" applyFill="1" applyBorder="1" applyAlignment="1">
      <alignment horizontal="center"/>
    </xf>
    <xf numFmtId="164" fontId="15" fillId="5" borderId="34" xfId="1" applyNumberFormat="1" applyFont="1" applyFill="1" applyBorder="1" applyAlignment="1">
      <alignment horizontal="center"/>
    </xf>
    <xf numFmtId="0" fontId="15" fillId="5" borderId="35" xfId="1" applyFont="1" applyFill="1" applyBorder="1" applyAlignment="1">
      <alignment horizontal="center"/>
    </xf>
    <xf numFmtId="49" fontId="26" fillId="0" borderId="0" xfId="1" applyNumberFormat="1" applyFont="1"/>
    <xf numFmtId="0" fontId="26" fillId="0" borderId="0" xfId="1" applyFont="1"/>
    <xf numFmtId="0" fontId="26" fillId="0" borderId="13" xfId="1" applyFont="1" applyBorder="1"/>
    <xf numFmtId="0" fontId="26" fillId="0" borderId="12" xfId="1" applyFont="1" applyBorder="1"/>
    <xf numFmtId="0" fontId="26" fillId="0" borderId="0" xfId="1" applyFont="1" applyAlignment="1">
      <alignment horizontal="center"/>
    </xf>
    <xf numFmtId="0" fontId="26" fillId="0" borderId="0" xfId="1" applyFont="1" applyBorder="1"/>
    <xf numFmtId="0" fontId="29" fillId="0" borderId="0" xfId="1" applyFont="1"/>
    <xf numFmtId="0" fontId="29" fillId="0" borderId="0" xfId="1" applyFont="1" applyBorder="1"/>
    <xf numFmtId="2" fontId="18" fillId="0" borderId="0" xfId="1" applyNumberFormat="1" applyFont="1" applyBorder="1" applyAlignment="1">
      <alignment horizontal="center"/>
    </xf>
    <xf numFmtId="0" fontId="29" fillId="0" borderId="0" xfId="1" applyFont="1" applyAlignment="1">
      <alignment horizontal="right"/>
    </xf>
    <xf numFmtId="164" fontId="26" fillId="0" borderId="0" xfId="1" applyNumberFormat="1" applyFont="1" applyAlignment="1">
      <alignment horizontal="left"/>
    </xf>
    <xf numFmtId="0" fontId="29" fillId="0" borderId="0" xfId="1" applyFont="1" applyAlignment="1">
      <alignment horizontal="left"/>
    </xf>
    <xf numFmtId="164" fontId="26" fillId="0" borderId="0" xfId="1" applyNumberFormat="1" applyFont="1" applyAlignment="1">
      <alignment horizontal="center"/>
    </xf>
    <xf numFmtId="0" fontId="24" fillId="0" borderId="0" xfId="1" applyFont="1" applyAlignment="1">
      <alignment horizontal="center"/>
    </xf>
    <xf numFmtId="0" fontId="26" fillId="0" borderId="0" xfId="1" applyFont="1" applyAlignment="1">
      <alignment horizontal="right"/>
    </xf>
    <xf numFmtId="0" fontId="19" fillId="0" borderId="0" xfId="1" applyFont="1" applyBorder="1"/>
    <xf numFmtId="0" fontId="19" fillId="0" borderId="0" xfId="1" applyFont="1"/>
    <xf numFmtId="0" fontId="19" fillId="0" borderId="0" xfId="1" applyFont="1" applyBorder="1" applyAlignment="1">
      <alignment horizontal="center"/>
    </xf>
    <xf numFmtId="0" fontId="20" fillId="0" borderId="0" xfId="1" applyFont="1"/>
    <xf numFmtId="49" fontId="19" fillId="0" borderId="0" xfId="1" applyNumberFormat="1" applyFont="1"/>
    <xf numFmtId="0" fontId="26" fillId="0" borderId="8" xfId="1" applyFont="1" applyBorder="1" applyAlignment="1">
      <alignment horizontal="center"/>
    </xf>
    <xf numFmtId="2" fontId="26" fillId="0" borderId="0" xfId="1" applyNumberFormat="1" applyFont="1" applyBorder="1" applyAlignment="1">
      <alignment horizontal="center"/>
    </xf>
    <xf numFmtId="0" fontId="26" fillId="0" borderId="0" xfId="1" applyFont="1" applyBorder="1" applyAlignment="1">
      <alignment horizontal="left"/>
    </xf>
    <xf numFmtId="164" fontId="29" fillId="0" borderId="0" xfId="1" applyNumberFormat="1" applyFont="1" applyAlignment="1">
      <alignment horizontal="right"/>
    </xf>
    <xf numFmtId="164" fontId="26" fillId="0" borderId="0" xfId="1" applyNumberFormat="1" applyFont="1" applyAlignment="1">
      <alignment horizontal="right"/>
    </xf>
    <xf numFmtId="0" fontId="26" fillId="0" borderId="0" xfId="1" applyFont="1" applyAlignment="1">
      <alignment horizontal="left"/>
    </xf>
    <xf numFmtId="0" fontId="26" fillId="0" borderId="7" xfId="1" applyFont="1" applyBorder="1"/>
    <xf numFmtId="0" fontId="26" fillId="0" borderId="6" xfId="1" applyFont="1" applyBorder="1"/>
    <xf numFmtId="0" fontId="26" fillId="0" borderId="4" xfId="1" applyFont="1" applyBorder="1"/>
    <xf numFmtId="0" fontId="26" fillId="0" borderId="1" xfId="1" applyFont="1" applyBorder="1"/>
    <xf numFmtId="0" fontId="26" fillId="0" borderId="0" xfId="1" applyFont="1" applyFill="1"/>
    <xf numFmtId="0" fontId="26" fillId="0" borderId="0" xfId="1" applyFont="1" applyFill="1" applyAlignment="1">
      <alignment horizontal="center"/>
    </xf>
    <xf numFmtId="0" fontId="26" fillId="0" borderId="2" xfId="1" applyFont="1" applyBorder="1" applyAlignment="1">
      <alignment horizontal="left"/>
    </xf>
    <xf numFmtId="0" fontId="24" fillId="0" borderId="0" xfId="1" applyFont="1"/>
    <xf numFmtId="0" fontId="26" fillId="0" borderId="3" xfId="1" applyFont="1" applyBorder="1" applyAlignment="1">
      <alignment horizontal="center"/>
    </xf>
    <xf numFmtId="0" fontId="30" fillId="0" borderId="0" xfId="1" applyFont="1" applyAlignment="1">
      <alignment horizontal="center"/>
    </xf>
    <xf numFmtId="0" fontId="29" fillId="0" borderId="0" xfId="1" applyFont="1" applyAlignment="1">
      <alignment horizontal="center"/>
    </xf>
    <xf numFmtId="0" fontId="20" fillId="0" borderId="0" xfId="1" applyFont="1" applyAlignment="1">
      <alignment horizontal="center"/>
    </xf>
    <xf numFmtId="0" fontId="29" fillId="0" borderId="14" xfId="1" applyFont="1" applyBorder="1" applyAlignment="1">
      <alignment horizontal="left"/>
    </xf>
    <xf numFmtId="0" fontId="29" fillId="0" borderId="13" xfId="1" applyFont="1" applyBorder="1" applyAlignment="1">
      <alignment horizontal="center"/>
    </xf>
    <xf numFmtId="0" fontId="26" fillId="0" borderId="5" xfId="1" applyFont="1" applyBorder="1" applyAlignment="1">
      <alignment horizontal="center"/>
    </xf>
    <xf numFmtId="0" fontId="26" fillId="0" borderId="2" xfId="1" applyFont="1" applyBorder="1"/>
    <xf numFmtId="165" fontId="26" fillId="0" borderId="7" xfId="1" applyNumberFormat="1" applyFont="1" applyBorder="1" applyAlignment="1">
      <alignment horizontal="center"/>
    </xf>
    <xf numFmtId="165" fontId="26" fillId="0" borderId="0" xfId="1" applyNumberFormat="1" applyFont="1" applyBorder="1" applyAlignment="1">
      <alignment horizontal="center"/>
    </xf>
    <xf numFmtId="165" fontId="26" fillId="0" borderId="2" xfId="1" applyNumberFormat="1" applyFont="1" applyBorder="1" applyAlignment="1">
      <alignment horizontal="center"/>
    </xf>
    <xf numFmtId="49" fontId="26" fillId="0" borderId="0" xfId="1" applyNumberFormat="1" applyFont="1" applyAlignment="1">
      <alignment horizontal="left"/>
    </xf>
    <xf numFmtId="49" fontId="19" fillId="0" borderId="0" xfId="1" applyNumberFormat="1" applyFont="1" applyBorder="1"/>
    <xf numFmtId="2" fontId="19" fillId="0" borderId="0" xfId="1" applyNumberFormat="1" applyFont="1" applyBorder="1" applyAlignment="1">
      <alignment horizontal="center"/>
    </xf>
    <xf numFmtId="0" fontId="19" fillId="0" borderId="0" xfId="1" applyFont="1" applyBorder="1" applyAlignment="1"/>
    <xf numFmtId="0" fontId="19" fillId="0" borderId="0" xfId="1" applyFont="1" applyFill="1"/>
    <xf numFmtId="0" fontId="19" fillId="0" borderId="0" xfId="1" applyFont="1" applyAlignment="1">
      <alignment horizontal="left"/>
    </xf>
    <xf numFmtId="164" fontId="19" fillId="0" borderId="0" xfId="1" applyNumberFormat="1" applyFont="1" applyAlignment="1">
      <alignment horizontal="left"/>
    </xf>
    <xf numFmtId="164" fontId="19" fillId="0" borderId="0" xfId="1" applyNumberFormat="1" applyFont="1" applyAlignment="1">
      <alignment horizontal="center"/>
    </xf>
    <xf numFmtId="164" fontId="20" fillId="0" borderId="0" xfId="1" applyNumberFormat="1" applyFont="1" applyAlignment="1">
      <alignment horizontal="center"/>
    </xf>
    <xf numFmtId="164" fontId="20" fillId="0" borderId="0" xfId="1" applyNumberFormat="1" applyFont="1" applyAlignment="1">
      <alignment horizontal="left"/>
    </xf>
    <xf numFmtId="0" fontId="20" fillId="0" borderId="0" xfId="1" applyFont="1" applyAlignment="1">
      <alignment horizontal="right"/>
    </xf>
    <xf numFmtId="164" fontId="20" fillId="3" borderId="0" xfId="1" applyNumberFormat="1" applyFont="1" applyFill="1" applyBorder="1" applyAlignment="1">
      <alignment horizontal="right"/>
    </xf>
    <xf numFmtId="2" fontId="19" fillId="3" borderId="0" xfId="1" applyNumberFormat="1" applyFont="1" applyFill="1" applyBorder="1" applyAlignment="1">
      <alignment horizontal="center"/>
    </xf>
    <xf numFmtId="0" fontId="20" fillId="0" borderId="0" xfId="1" applyFont="1" applyAlignment="1"/>
    <xf numFmtId="164" fontId="20" fillId="0" borderId="0" xfId="1" applyNumberFormat="1" applyFont="1"/>
    <xf numFmtId="164" fontId="19" fillId="0" borderId="0" xfId="1" applyNumberFormat="1" applyFont="1"/>
    <xf numFmtId="0" fontId="22" fillId="0" borderId="0" xfId="1" applyFont="1"/>
    <xf numFmtId="0" fontId="19" fillId="0" borderId="0" xfId="1" applyFont="1" applyBorder="1" applyAlignment="1"/>
    <xf numFmtId="0" fontId="19" fillId="0" borderId="0" xfId="2" applyFont="1" applyAlignment="1">
      <alignment horizontal="right"/>
    </xf>
    <xf numFmtId="0" fontId="19" fillId="0" borderId="0" xfId="2" applyFont="1" applyAlignment="1">
      <alignment horizontal="center"/>
    </xf>
    <xf numFmtId="0" fontId="0" fillId="0" borderId="0" xfId="0" applyAlignment="1">
      <alignment horizontal="center"/>
    </xf>
    <xf numFmtId="164" fontId="0" fillId="0" borderId="0" xfId="0" applyNumberFormat="1"/>
    <xf numFmtId="2" fontId="0" fillId="0" borderId="0" xfId="0" applyNumberFormat="1"/>
    <xf numFmtId="169" fontId="0" fillId="0" borderId="0" xfId="0" applyNumberFormat="1" applyAlignment="1">
      <alignment horizontal="center"/>
    </xf>
    <xf numFmtId="170" fontId="0" fillId="0" borderId="0" xfId="0" applyNumberFormat="1" applyAlignment="1">
      <alignment horizontal="center"/>
    </xf>
    <xf numFmtId="12" fontId="0" fillId="0" borderId="0" xfId="0" applyNumberFormat="1" applyAlignment="1">
      <alignment horizontal="center"/>
    </xf>
    <xf numFmtId="0" fontId="19" fillId="0" borderId="0" xfId="1" applyFont="1" applyAlignment="1">
      <alignment horizontal="right"/>
    </xf>
    <xf numFmtId="0" fontId="20" fillId="0" borderId="0" xfId="1" applyFont="1" applyAlignment="1">
      <alignment horizontal="center"/>
    </xf>
    <xf numFmtId="0" fontId="32" fillId="0" borderId="0" xfId="57" applyFont="1"/>
    <xf numFmtId="0" fontId="32" fillId="0" borderId="4" xfId="57" applyFont="1" applyBorder="1"/>
    <xf numFmtId="0" fontId="32" fillId="0" borderId="0" xfId="57" applyFont="1" applyBorder="1"/>
    <xf numFmtId="0" fontId="32" fillId="0" borderId="5" xfId="57" applyFont="1" applyBorder="1"/>
    <xf numFmtId="0" fontId="32" fillId="0" borderId="4" xfId="57" applyFont="1" applyBorder="1" applyAlignment="1"/>
    <xf numFmtId="0" fontId="32" fillId="0" borderId="0" xfId="57" applyFont="1" applyBorder="1" applyAlignment="1"/>
    <xf numFmtId="0" fontId="32" fillId="0" borderId="0" xfId="57" applyFont="1" applyBorder="1" applyAlignment="1">
      <alignment horizontal="left"/>
    </xf>
    <xf numFmtId="0" fontId="2" fillId="0" borderId="5" xfId="57" applyBorder="1"/>
    <xf numFmtId="0" fontId="32" fillId="0" borderId="0" xfId="57" applyFont="1" applyFill="1" applyBorder="1" applyAlignment="1">
      <alignment horizontal="left"/>
    </xf>
    <xf numFmtId="0" fontId="2" fillId="0" borderId="5" xfId="57" applyFont="1" applyBorder="1"/>
    <xf numFmtId="0" fontId="34" fillId="0" borderId="0" xfId="57" applyFont="1" applyBorder="1" applyAlignment="1">
      <alignment horizontal="center" wrapText="1"/>
    </xf>
    <xf numFmtId="0" fontId="2" fillId="0" borderId="0" xfId="57" applyBorder="1"/>
    <xf numFmtId="0" fontId="19" fillId="0" borderId="0" xfId="2" applyFont="1" applyProtection="1"/>
    <xf numFmtId="0" fontId="18" fillId="0" borderId="0" xfId="2" applyFont="1" applyProtection="1"/>
    <xf numFmtId="0" fontId="25" fillId="0" borderId="0" xfId="2" applyFont="1" applyFill="1" applyBorder="1" applyAlignment="1" applyProtection="1"/>
    <xf numFmtId="0" fontId="18" fillId="0" borderId="0" xfId="2" applyFont="1" applyBorder="1" applyAlignment="1" applyProtection="1"/>
    <xf numFmtId="0" fontId="18" fillId="0" borderId="0" xfId="2" applyFont="1" applyBorder="1" applyProtection="1"/>
    <xf numFmtId="0" fontId="19" fillId="0" borderId="0" xfId="2" applyFont="1" applyFill="1" applyBorder="1" applyAlignment="1" applyProtection="1"/>
    <xf numFmtId="0" fontId="18" fillId="0" borderId="0" xfId="2" applyFont="1" applyFill="1" applyBorder="1" applyAlignment="1" applyProtection="1"/>
    <xf numFmtId="0" fontId="19" fillId="0" borderId="0" xfId="2" applyFont="1" applyBorder="1" applyAlignment="1" applyProtection="1"/>
    <xf numFmtId="0" fontId="19" fillId="0" borderId="0" xfId="2" applyFont="1" applyBorder="1" applyProtection="1"/>
    <xf numFmtId="0" fontId="19" fillId="0" borderId="0" xfId="2" applyFont="1" applyAlignment="1" applyProtection="1">
      <alignment horizontal="left"/>
    </xf>
    <xf numFmtId="0" fontId="19" fillId="0" borderId="0" xfId="2" applyFont="1" applyBorder="1" applyAlignment="1" applyProtection="1">
      <alignment horizontal="right"/>
    </xf>
    <xf numFmtId="0" fontId="18" fillId="0" borderId="0" xfId="2" applyFont="1" applyAlignment="1" applyProtection="1">
      <alignment horizontal="center"/>
    </xf>
    <xf numFmtId="0" fontId="19" fillId="0" borderId="0" xfId="2" applyFont="1" applyFill="1" applyBorder="1" applyAlignment="1" applyProtection="1">
      <alignment horizontal="right"/>
    </xf>
    <xf numFmtId="0" fontId="20" fillId="0" borderId="0" xfId="2" applyFont="1" applyProtection="1"/>
    <xf numFmtId="0" fontId="19" fillId="0" borderId="0" xfId="2" applyFont="1" applyBorder="1" applyAlignment="1" applyProtection="1">
      <alignment horizontal="center"/>
    </xf>
    <xf numFmtId="0" fontId="19" fillId="0" borderId="0" xfId="2" applyFont="1" applyAlignment="1" applyProtection="1">
      <alignment horizontal="right"/>
    </xf>
    <xf numFmtId="0" fontId="20" fillId="0" borderId="0" xfId="2" applyFont="1" applyFill="1" applyBorder="1" applyAlignment="1" applyProtection="1"/>
    <xf numFmtId="0" fontId="20" fillId="0" borderId="0" xfId="2" applyFont="1" applyFill="1" applyBorder="1" applyAlignment="1" applyProtection="1">
      <alignment horizontal="center"/>
    </xf>
    <xf numFmtId="0" fontId="19" fillId="0" borderId="0" xfId="2" applyFont="1" applyAlignment="1" applyProtection="1">
      <alignment horizontal="center"/>
    </xf>
    <xf numFmtId="0" fontId="19" fillId="0" borderId="0" xfId="2" applyFont="1" applyBorder="1" applyAlignment="1" applyProtection="1">
      <alignment horizontal="left"/>
    </xf>
    <xf numFmtId="0" fontId="19" fillId="0" borderId="0" xfId="2" applyFont="1" applyAlignment="1" applyProtection="1"/>
    <xf numFmtId="0" fontId="19" fillId="0" borderId="0" xfId="2" applyFont="1" applyFill="1" applyBorder="1" applyAlignment="1" applyProtection="1">
      <alignment horizontal="center"/>
    </xf>
    <xf numFmtId="0" fontId="22" fillId="0" borderId="0" xfId="2" applyFont="1" applyFill="1" applyBorder="1" applyAlignment="1" applyProtection="1">
      <alignment horizontal="center"/>
    </xf>
    <xf numFmtId="0" fontId="21" fillId="0" borderId="0" xfId="2" applyFont="1" applyAlignment="1" applyProtection="1"/>
    <xf numFmtId="0" fontId="18" fillId="0" borderId="0" xfId="2" applyFont="1" applyBorder="1" applyAlignment="1" applyProtection="1">
      <alignment horizontal="center"/>
    </xf>
    <xf numFmtId="0" fontId="20" fillId="0" borderId="0" xfId="2" applyFont="1" applyBorder="1" applyProtection="1"/>
    <xf numFmtId="0" fontId="15" fillId="5" borderId="37" xfId="1" applyFont="1" applyFill="1" applyBorder="1" applyAlignment="1" applyProtection="1">
      <alignment horizontal="center"/>
      <protection locked="0"/>
    </xf>
    <xf numFmtId="0" fontId="15" fillId="4" borderId="38" xfId="1" applyFont="1" applyFill="1" applyBorder="1" applyAlignment="1" applyProtection="1">
      <alignment horizontal="center"/>
      <protection locked="0"/>
    </xf>
    <xf numFmtId="0" fontId="15" fillId="5" borderId="38" xfId="1" applyFont="1" applyFill="1" applyBorder="1" applyAlignment="1" applyProtection="1">
      <alignment horizontal="center"/>
      <protection locked="0"/>
    </xf>
    <xf numFmtId="0" fontId="15" fillId="4" borderId="39" xfId="1" applyFont="1" applyFill="1" applyBorder="1" applyAlignment="1" applyProtection="1">
      <alignment horizontal="center"/>
      <protection locked="0"/>
    </xf>
    <xf numFmtId="2" fontId="15" fillId="5" borderId="37" xfId="1" applyNumberFormat="1" applyFont="1" applyFill="1" applyBorder="1" applyAlignment="1" applyProtection="1">
      <alignment horizontal="center"/>
      <protection locked="0"/>
    </xf>
    <xf numFmtId="2" fontId="15" fillId="4" borderId="38" xfId="1" applyNumberFormat="1" applyFont="1" applyFill="1" applyBorder="1" applyAlignment="1" applyProtection="1">
      <alignment horizontal="center"/>
      <protection locked="0"/>
    </xf>
    <xf numFmtId="2" fontId="15" fillId="5" borderId="38" xfId="1" applyNumberFormat="1" applyFont="1" applyFill="1" applyBorder="1" applyAlignment="1" applyProtection="1">
      <alignment horizontal="center"/>
      <protection locked="0"/>
    </xf>
    <xf numFmtId="164" fontId="20" fillId="0" borderId="0" xfId="1" applyNumberFormat="1" applyFont="1" applyAlignment="1"/>
    <xf numFmtId="164" fontId="20" fillId="0" borderId="0" xfId="1" applyNumberFormat="1" applyFont="1" applyAlignment="1">
      <alignment horizontal="right"/>
    </xf>
    <xf numFmtId="0" fontId="26" fillId="0" borderId="0" xfId="1" applyFont="1" applyAlignment="1"/>
    <xf numFmtId="0" fontId="36" fillId="8" borderId="14" xfId="2" applyFont="1" applyFill="1" applyBorder="1" applyProtection="1"/>
    <xf numFmtId="0" fontId="37" fillId="8" borderId="12" xfId="2" applyFont="1" applyFill="1" applyBorder="1" applyAlignment="1" applyProtection="1"/>
    <xf numFmtId="0" fontId="35" fillId="0" borderId="0" xfId="2" applyFont="1" applyProtection="1"/>
    <xf numFmtId="0" fontId="38" fillId="0" borderId="0" xfId="2" applyFont="1" applyBorder="1" applyAlignment="1" applyProtection="1"/>
    <xf numFmtId="0" fontId="12" fillId="0" borderId="0" xfId="2" applyFont="1" applyBorder="1" applyAlignment="1" applyProtection="1">
      <alignment horizontal="left"/>
    </xf>
    <xf numFmtId="0" fontId="35" fillId="0" borderId="0" xfId="2" applyFont="1" applyAlignment="1" applyProtection="1">
      <alignment horizontal="left"/>
    </xf>
    <xf numFmtId="0" fontId="38" fillId="0" borderId="0" xfId="2" applyFont="1" applyAlignment="1" applyProtection="1">
      <alignment horizontal="left"/>
    </xf>
    <xf numFmtId="0" fontId="38" fillId="0" borderId="0" xfId="2" applyNumberFormat="1" applyFont="1" applyFill="1" applyBorder="1" applyAlignment="1" applyProtection="1">
      <alignment horizontal="left" vertical="center"/>
    </xf>
    <xf numFmtId="0" fontId="38" fillId="0" borderId="0" xfId="2" applyFont="1" applyBorder="1" applyAlignment="1" applyProtection="1">
      <alignment horizontal="left"/>
    </xf>
    <xf numFmtId="0" fontId="35" fillId="6" borderId="9" xfId="2" applyFont="1" applyFill="1" applyBorder="1" applyAlignment="1" applyProtection="1">
      <alignment horizontal="center"/>
      <protection locked="0"/>
    </xf>
    <xf numFmtId="0" fontId="35" fillId="0" borderId="0" xfId="2" applyFont="1" applyFill="1" applyBorder="1" applyAlignment="1" applyProtection="1">
      <alignment horizontal="left"/>
    </xf>
    <xf numFmtId="0" fontId="35" fillId="0" borderId="0" xfId="2" applyFont="1" applyBorder="1" applyProtection="1"/>
    <xf numFmtId="0" fontId="39" fillId="0" borderId="0" xfId="2" applyFont="1" applyProtection="1"/>
    <xf numFmtId="0" fontId="39" fillId="0" borderId="0" xfId="2" applyFont="1" applyAlignment="1" applyProtection="1">
      <alignment horizontal="center"/>
    </xf>
    <xf numFmtId="0" fontId="38" fillId="0" borderId="0" xfId="2" applyFont="1" applyProtection="1"/>
    <xf numFmtId="0" fontId="38" fillId="0" borderId="0" xfId="2" applyFont="1" applyAlignment="1" applyProtection="1">
      <alignment horizontal="center"/>
    </xf>
    <xf numFmtId="0" fontId="35" fillId="0" borderId="0" xfId="2" applyFont="1" applyBorder="1" applyAlignment="1" applyProtection="1">
      <alignment horizontal="center"/>
    </xf>
    <xf numFmtId="0" fontId="35" fillId="0" borderId="0" xfId="2" applyFont="1" applyAlignment="1" applyProtection="1">
      <alignment horizontal="right"/>
    </xf>
    <xf numFmtId="0" fontId="35" fillId="8" borderId="13" xfId="2" applyFont="1" applyFill="1" applyBorder="1" applyAlignment="1" applyProtection="1">
      <alignment horizontal="center"/>
    </xf>
    <xf numFmtId="0" fontId="35" fillId="8" borderId="13" xfId="2" applyFont="1" applyFill="1" applyBorder="1" applyAlignment="1" applyProtection="1">
      <alignment horizontal="right"/>
    </xf>
    <xf numFmtId="0" fontId="38" fillId="8" borderId="13" xfId="2" applyFont="1" applyFill="1" applyBorder="1" applyAlignment="1" applyProtection="1">
      <alignment horizontal="center"/>
    </xf>
    <xf numFmtId="0" fontId="35" fillId="8" borderId="13" xfId="2" applyFont="1" applyFill="1" applyBorder="1" applyProtection="1"/>
    <xf numFmtId="0" fontId="35" fillId="8" borderId="12" xfId="2" applyFont="1" applyFill="1" applyBorder="1" applyAlignment="1" applyProtection="1">
      <alignment horizontal="center"/>
    </xf>
    <xf numFmtId="0" fontId="35" fillId="0" borderId="0" xfId="2" applyFont="1" applyAlignment="1" applyProtection="1">
      <alignment horizontal="center"/>
    </xf>
    <xf numFmtId="0" fontId="35" fillId="0" borderId="0" xfId="2" applyFont="1" applyBorder="1" applyAlignment="1" applyProtection="1">
      <alignment horizontal="left"/>
    </xf>
    <xf numFmtId="0" fontId="41" fillId="0" borderId="0" xfId="2" applyFont="1" applyProtection="1"/>
    <xf numFmtId="0" fontId="35" fillId="0" borderId="0" xfId="2" applyFont="1" applyAlignment="1" applyProtection="1">
      <alignment horizontal="left" wrapText="1"/>
    </xf>
    <xf numFmtId="0" fontId="35" fillId="0" borderId="0" xfId="2" applyFont="1" applyAlignment="1" applyProtection="1"/>
    <xf numFmtId="0" fontId="35" fillId="0" borderId="0" xfId="2" applyFont="1" applyBorder="1" applyAlignment="1" applyProtection="1">
      <alignment horizontal="right"/>
    </xf>
    <xf numFmtId="0" fontId="35" fillId="8" borderId="12" xfId="2" applyFont="1" applyFill="1" applyBorder="1" applyProtection="1"/>
    <xf numFmtId="0" fontId="42" fillId="0" borderId="4" xfId="0" applyFont="1" applyBorder="1" applyAlignment="1" applyProtection="1"/>
    <xf numFmtId="0" fontId="40" fillId="0" borderId="0" xfId="2" applyFont="1" applyAlignment="1" applyProtection="1">
      <alignment horizontal="center"/>
    </xf>
    <xf numFmtId="0" fontId="35" fillId="0" borderId="0" xfId="2" applyFont="1" applyAlignment="1" applyProtection="1">
      <alignment horizontal="center"/>
      <protection locked="0"/>
    </xf>
    <xf numFmtId="0" fontId="35" fillId="0" borderId="0" xfId="2" applyFont="1" applyProtection="1">
      <protection locked="0"/>
    </xf>
    <xf numFmtId="0" fontId="40" fillId="0" borderId="0" xfId="2" applyFont="1" applyAlignment="1" applyProtection="1">
      <alignment horizontal="right"/>
    </xf>
    <xf numFmtId="2" fontId="35" fillId="6" borderId="9" xfId="2" applyNumberFormat="1" applyFont="1" applyFill="1" applyBorder="1" applyAlignment="1" applyProtection="1">
      <alignment horizontal="center"/>
      <protection locked="0"/>
    </xf>
    <xf numFmtId="0" fontId="39" fillId="0" borderId="0" xfId="2" applyFont="1" applyBorder="1" applyProtection="1"/>
    <xf numFmtId="0" fontId="39" fillId="0" borderId="0" xfId="2" applyFont="1" applyBorder="1" applyAlignment="1" applyProtection="1">
      <alignment horizontal="center"/>
    </xf>
    <xf numFmtId="0" fontId="35" fillId="0" borderId="0" xfId="2" applyFont="1" applyBorder="1" applyAlignment="1" applyProtection="1"/>
    <xf numFmtId="0" fontId="35" fillId="7" borderId="36" xfId="2" applyFont="1" applyFill="1" applyBorder="1" applyAlignment="1" applyProtection="1">
      <alignment horizontal="center"/>
    </xf>
    <xf numFmtId="0" fontId="39" fillId="0" borderId="0" xfId="2" applyFont="1" applyBorder="1" applyAlignment="1" applyProtection="1"/>
    <xf numFmtId="1" fontId="35" fillId="6" borderId="9" xfId="2" applyNumberFormat="1" applyFont="1" applyFill="1" applyBorder="1" applyAlignment="1" applyProtection="1">
      <alignment horizontal="center"/>
      <protection locked="0"/>
    </xf>
    <xf numFmtId="0" fontId="41" fillId="0" borderId="0" xfId="2" applyFont="1" applyBorder="1" applyAlignment="1" applyProtection="1">
      <alignment horizontal="center"/>
    </xf>
    <xf numFmtId="0" fontId="41" fillId="0" borderId="0" xfId="2" applyFont="1" applyBorder="1" applyAlignment="1" applyProtection="1"/>
    <xf numFmtId="0" fontId="10" fillId="0" borderId="0" xfId="1" applyFont="1" applyAlignment="1" applyProtection="1"/>
    <xf numFmtId="0" fontId="39" fillId="0" borderId="0" xfId="2" applyNumberFormat="1" applyFont="1" applyAlignment="1" applyProtection="1">
      <alignment horizontal="center"/>
    </xf>
    <xf numFmtId="0" fontId="35" fillId="0" borderId="0" xfId="2" applyFont="1"/>
    <xf numFmtId="0" fontId="35" fillId="0" borderId="0" xfId="2" applyFont="1" applyBorder="1"/>
    <xf numFmtId="0" fontId="38" fillId="0" borderId="0" xfId="2" applyFont="1"/>
    <xf numFmtId="0" fontId="44" fillId="0" borderId="0" xfId="2" applyFont="1" applyAlignment="1">
      <alignment horizontal="center"/>
    </xf>
    <xf numFmtId="0" fontId="38" fillId="8" borderId="14" xfId="2" applyFont="1" applyFill="1" applyBorder="1"/>
    <xf numFmtId="0" fontId="35" fillId="8" borderId="13" xfId="2" applyFont="1" applyFill="1" applyBorder="1" applyAlignment="1">
      <alignment horizontal="right"/>
    </xf>
    <xf numFmtId="0" fontId="35" fillId="8" borderId="13" xfId="2" applyFont="1" applyFill="1" applyBorder="1" applyAlignment="1"/>
    <xf numFmtId="0" fontId="35" fillId="0" borderId="14" xfId="2" applyFont="1" applyBorder="1" applyAlignment="1">
      <alignment horizontal="center" vertical="center" wrapText="1"/>
    </xf>
    <xf numFmtId="0" fontId="35" fillId="0" borderId="9" xfId="2" applyFont="1" applyBorder="1" applyAlignment="1">
      <alignment horizontal="center" vertical="center"/>
    </xf>
    <xf numFmtId="0" fontId="35" fillId="0" borderId="13" xfId="2" applyFont="1" applyBorder="1" applyAlignment="1">
      <alignment horizontal="center" vertical="center"/>
    </xf>
    <xf numFmtId="0" fontId="35" fillId="0" borderId="14" xfId="2" applyFont="1" applyBorder="1" applyAlignment="1" applyProtection="1">
      <protection locked="0"/>
    </xf>
    <xf numFmtId="0" fontId="35" fillId="0" borderId="9" xfId="2" applyFont="1" applyBorder="1" applyAlignment="1" applyProtection="1">
      <protection locked="0"/>
    </xf>
    <xf numFmtId="0" fontId="35" fillId="0" borderId="13" xfId="2" applyFont="1" applyBorder="1" applyAlignment="1" applyProtection="1">
      <protection locked="0"/>
    </xf>
    <xf numFmtId="0" fontId="35" fillId="0" borderId="9" xfId="2" applyFont="1" applyBorder="1" applyAlignment="1" applyProtection="1">
      <alignment horizontal="center"/>
      <protection locked="0"/>
    </xf>
    <xf numFmtId="0" fontId="39" fillId="0" borderId="0" xfId="2" applyFont="1"/>
    <xf numFmtId="0" fontId="39" fillId="0" borderId="7" xfId="2" applyFont="1" applyBorder="1"/>
    <xf numFmtId="0" fontId="39" fillId="0" borderId="0" xfId="2" applyFont="1" applyBorder="1"/>
    <xf numFmtId="0" fontId="39" fillId="0" borderId="0" xfId="2" applyFont="1" applyBorder="1" applyAlignment="1"/>
    <xf numFmtId="0" fontId="47" fillId="8" borderId="13" xfId="2" applyFont="1" applyFill="1" applyBorder="1"/>
    <xf numFmtId="0" fontId="47" fillId="0" borderId="0" xfId="2" applyFont="1"/>
    <xf numFmtId="0" fontId="39" fillId="0" borderId="2" xfId="2" applyFont="1" applyBorder="1" applyProtection="1">
      <protection locked="0"/>
    </xf>
    <xf numFmtId="0" fontId="46" fillId="0" borderId="0" xfId="2" applyFont="1" applyBorder="1"/>
    <xf numFmtId="0" fontId="35" fillId="8" borderId="13" xfId="1" applyFont="1" applyFill="1" applyBorder="1" applyAlignment="1">
      <alignment horizontal="right"/>
    </xf>
    <xf numFmtId="0" fontId="35" fillId="0" borderId="0" xfId="1" applyFont="1"/>
    <xf numFmtId="0" fontId="35" fillId="0" borderId="0" xfId="1" applyFont="1" applyAlignment="1">
      <alignment horizontal="center"/>
    </xf>
    <xf numFmtId="0" fontId="35" fillId="0" borderId="0" xfId="1" applyFont="1" applyBorder="1"/>
    <xf numFmtId="0" fontId="35" fillId="0" borderId="0" xfId="1" applyFont="1" applyBorder="1" applyAlignment="1">
      <alignment horizontal="center"/>
    </xf>
    <xf numFmtId="1" fontId="35" fillId="7" borderId="9" xfId="1" applyNumberFormat="1" applyFont="1" applyFill="1" applyBorder="1" applyAlignment="1">
      <alignment horizontal="center"/>
    </xf>
    <xf numFmtId="0" fontId="35" fillId="6" borderId="9" xfId="1" applyFont="1" applyFill="1" applyBorder="1" applyAlignment="1" applyProtection="1">
      <alignment horizontal="center"/>
      <protection locked="0"/>
    </xf>
    <xf numFmtId="0" fontId="35" fillId="0" borderId="0" xfId="1" applyFont="1" applyAlignment="1">
      <alignment horizontal="right"/>
    </xf>
    <xf numFmtId="0" fontId="35" fillId="0" borderId="0" xfId="1" applyFont="1" applyAlignment="1">
      <alignment horizontal="left"/>
    </xf>
    <xf numFmtId="0" fontId="35" fillId="6" borderId="9" xfId="1" applyFont="1" applyFill="1" applyBorder="1" applyProtection="1">
      <protection locked="0"/>
    </xf>
    <xf numFmtId="167" fontId="35" fillId="6" borderId="9" xfId="1" applyNumberFormat="1" applyFont="1" applyFill="1" applyBorder="1" applyAlignment="1" applyProtection="1">
      <alignment horizontal="center"/>
      <protection locked="0"/>
    </xf>
    <xf numFmtId="14" fontId="35" fillId="6" borderId="9" xfId="1" applyNumberFormat="1" applyFont="1" applyFill="1" applyBorder="1" applyAlignment="1" applyProtection="1">
      <alignment horizontal="center"/>
      <protection locked="0"/>
    </xf>
    <xf numFmtId="0" fontId="41" fillId="0" borderId="0" xfId="1" applyFont="1"/>
    <xf numFmtId="0" fontId="13" fillId="0" borderId="0" xfId="1" applyFont="1" applyAlignment="1">
      <alignment horizontal="center"/>
    </xf>
    <xf numFmtId="0" fontId="13" fillId="6" borderId="9" xfId="1" applyFont="1" applyFill="1" applyBorder="1" applyAlignment="1" applyProtection="1">
      <alignment horizontal="center"/>
      <protection locked="0"/>
    </xf>
    <xf numFmtId="0" fontId="2" fillId="0" borderId="0" xfId="1" applyFont="1" applyBorder="1"/>
    <xf numFmtId="0" fontId="2" fillId="0" borderId="0" xfId="1" applyFont="1" applyBorder="1" applyAlignment="1">
      <alignment horizontal="center"/>
    </xf>
    <xf numFmtId="0" fontId="2" fillId="0" borderId="2" xfId="1" applyFont="1" applyBorder="1"/>
    <xf numFmtId="0" fontId="38" fillId="0" borderId="0" xfId="1" applyFont="1" applyBorder="1" applyAlignment="1">
      <alignment horizontal="center"/>
    </xf>
    <xf numFmtId="49" fontId="2" fillId="0" borderId="0" xfId="1" applyNumberFormat="1" applyFont="1" applyBorder="1"/>
    <xf numFmtId="49" fontId="10" fillId="0" borderId="0" xfId="1" applyNumberFormat="1" applyFont="1" applyBorder="1" applyAlignment="1"/>
    <xf numFmtId="0" fontId="2" fillId="0" borderId="0" xfId="1" applyFont="1" applyBorder="1" applyAlignment="1"/>
    <xf numFmtId="0" fontId="2" fillId="0" borderId="0" xfId="1" applyFont="1" applyAlignment="1">
      <alignment horizontal="center"/>
    </xf>
    <xf numFmtId="0" fontId="2" fillId="0" borderId="0" xfId="1" applyFont="1"/>
    <xf numFmtId="0" fontId="10" fillId="0" borderId="0" xfId="1" applyFont="1" applyBorder="1"/>
    <xf numFmtId="0" fontId="2" fillId="7" borderId="9" xfId="1" applyFont="1" applyFill="1" applyBorder="1" applyAlignment="1">
      <alignment horizontal="center"/>
    </xf>
    <xf numFmtId="0" fontId="2" fillId="6" borderId="9" xfId="1" applyFont="1" applyFill="1" applyBorder="1" applyAlignment="1" applyProtection="1">
      <alignment horizontal="center"/>
      <protection locked="0"/>
    </xf>
    <xf numFmtId="0" fontId="2" fillId="7" borderId="36" xfId="1" applyFont="1" applyFill="1" applyBorder="1" applyAlignment="1">
      <alignment horizontal="center"/>
    </xf>
    <xf numFmtId="0" fontId="49" fillId="0" borderId="0" xfId="1" applyFont="1" applyBorder="1"/>
    <xf numFmtId="0" fontId="11" fillId="0" borderId="0" xfId="1" applyFont="1" applyBorder="1"/>
    <xf numFmtId="49" fontId="2" fillId="0" borderId="0" xfId="1" applyNumberFormat="1" applyFont="1"/>
    <xf numFmtId="164" fontId="2" fillId="7" borderId="9" xfId="1" applyNumberFormat="1" applyFont="1" applyFill="1" applyBorder="1" applyAlignment="1">
      <alignment horizontal="center"/>
    </xf>
    <xf numFmtId="2" fontId="2" fillId="7" borderId="9" xfId="1" applyNumberFormat="1" applyFont="1" applyFill="1" applyBorder="1" applyAlignment="1">
      <alignment horizontal="center"/>
    </xf>
    <xf numFmtId="164" fontId="10" fillId="7" borderId="36" xfId="1" applyNumberFormat="1" applyFont="1" applyFill="1" applyBorder="1" applyAlignment="1">
      <alignment horizontal="center"/>
    </xf>
    <xf numFmtId="164" fontId="2" fillId="0" borderId="0" xfId="1" applyNumberFormat="1" applyFont="1" applyBorder="1" applyAlignment="1">
      <alignment horizontal="center"/>
    </xf>
    <xf numFmtId="1" fontId="2" fillId="7" borderId="9" xfId="1" applyNumberFormat="1" applyFont="1" applyFill="1" applyBorder="1" applyAlignment="1">
      <alignment horizontal="center"/>
    </xf>
    <xf numFmtId="0" fontId="2" fillId="0" borderId="0" xfId="1" applyFont="1" applyBorder="1" applyAlignment="1">
      <alignment horizontal="left"/>
    </xf>
    <xf numFmtId="1" fontId="10" fillId="7" borderId="36" xfId="1" applyNumberFormat="1" applyFont="1" applyFill="1" applyBorder="1" applyAlignment="1">
      <alignment horizontal="center"/>
    </xf>
    <xf numFmtId="0" fontId="2" fillId="0" borderId="8" xfId="1" applyFont="1" applyBorder="1"/>
    <xf numFmtId="0" fontId="2" fillId="0" borderId="7" xfId="1" applyFont="1" applyBorder="1"/>
    <xf numFmtId="0" fontId="2" fillId="0" borderId="3" xfId="1" applyFont="1" applyBorder="1"/>
    <xf numFmtId="0" fontId="10" fillId="0" borderId="0" xfId="1" applyFont="1" applyFill="1" applyBorder="1"/>
    <xf numFmtId="0" fontId="2" fillId="0" borderId="0" xfId="1" applyFont="1" applyFill="1" applyBorder="1"/>
    <xf numFmtId="0" fontId="2" fillId="0" borderId="0" xfId="1" applyFont="1" applyFill="1" applyBorder="1" applyAlignment="1">
      <alignment horizontal="center"/>
    </xf>
    <xf numFmtId="0" fontId="2" fillId="0" borderId="0" xfId="1" applyFont="1" applyFill="1" applyBorder="1" applyAlignment="1">
      <alignment horizontal="left"/>
    </xf>
    <xf numFmtId="49" fontId="2" fillId="0" borderId="0" xfId="1" applyNumberFormat="1" applyFont="1" applyFill="1" applyBorder="1"/>
    <xf numFmtId="0" fontId="11" fillId="0" borderId="0" xfId="1" applyFont="1" applyFill="1" applyBorder="1"/>
    <xf numFmtId="0" fontId="2" fillId="0" borderId="0" xfId="1" applyFont="1" applyFill="1"/>
    <xf numFmtId="0" fontId="2" fillId="0" borderId="0" xfId="1" applyFont="1" applyAlignment="1">
      <alignment horizontal="left"/>
    </xf>
    <xf numFmtId="0" fontId="10" fillId="0" borderId="0" xfId="1" applyFont="1" applyBorder="1" applyAlignment="1">
      <alignment horizontal="center"/>
    </xf>
    <xf numFmtId="0" fontId="10" fillId="8" borderId="13" xfId="1" applyFont="1" applyFill="1" applyBorder="1"/>
    <xf numFmtId="0" fontId="2" fillId="8" borderId="12" xfId="1" applyFont="1" applyFill="1" applyBorder="1"/>
    <xf numFmtId="0" fontId="2" fillId="8" borderId="13" xfId="1" applyFont="1" applyFill="1" applyBorder="1"/>
    <xf numFmtId="0" fontId="10" fillId="8" borderId="12" xfId="1" applyFont="1" applyFill="1" applyBorder="1"/>
    <xf numFmtId="0" fontId="10" fillId="0" borderId="0" xfId="1" applyFont="1" applyBorder="1" applyAlignment="1"/>
    <xf numFmtId="0" fontId="2" fillId="8" borderId="0" xfId="1" applyFont="1" applyFill="1" applyBorder="1"/>
    <xf numFmtId="49" fontId="38" fillId="0" borderId="0" xfId="1" applyNumberFormat="1" applyFont="1"/>
    <xf numFmtId="0" fontId="38" fillId="0" borderId="0" xfId="1" applyFont="1"/>
    <xf numFmtId="49" fontId="35" fillId="0" borderId="0" xfId="1" applyNumberFormat="1" applyFont="1"/>
    <xf numFmtId="0" fontId="38" fillId="0" borderId="0" xfId="1" applyFont="1" applyBorder="1"/>
    <xf numFmtId="49" fontId="38" fillId="0" borderId="0" xfId="1" applyNumberFormat="1" applyFont="1" applyBorder="1"/>
    <xf numFmtId="49" fontId="35" fillId="0" borderId="0" xfId="1" applyNumberFormat="1" applyFont="1" applyBorder="1"/>
    <xf numFmtId="0" fontId="38" fillId="7" borderId="9" xfId="1" applyFont="1" applyFill="1" applyBorder="1" applyAlignment="1">
      <alignment horizontal="center"/>
    </xf>
    <xf numFmtId="0" fontId="38" fillId="7" borderId="36" xfId="1" applyFont="1" applyFill="1" applyBorder="1" applyAlignment="1">
      <alignment horizontal="center"/>
    </xf>
    <xf numFmtId="0" fontId="38" fillId="0" borderId="0" xfId="1" applyFont="1" applyBorder="1" applyAlignment="1"/>
    <xf numFmtId="0" fontId="35" fillId="7" borderId="9" xfId="1" applyFont="1" applyFill="1" applyBorder="1" applyAlignment="1">
      <alignment horizontal="center"/>
    </xf>
    <xf numFmtId="0" fontId="38" fillId="0" borderId="0" xfId="1" applyFont="1" applyAlignment="1"/>
    <xf numFmtId="49" fontId="35" fillId="0" borderId="0" xfId="1" applyNumberFormat="1" applyFont="1" applyBorder="1" applyAlignment="1">
      <alignment horizontal="center"/>
    </xf>
    <xf numFmtId="164" fontId="35" fillId="7" borderId="9" xfId="1" applyNumberFormat="1" applyFont="1" applyFill="1" applyBorder="1" applyAlignment="1">
      <alignment horizontal="center"/>
    </xf>
    <xf numFmtId="2" fontId="35" fillId="7" borderId="10" xfId="1" applyNumberFormat="1" applyFont="1" applyFill="1" applyBorder="1" applyAlignment="1">
      <alignment horizontal="center"/>
    </xf>
    <xf numFmtId="2" fontId="35" fillId="7" borderId="9" xfId="1" applyNumberFormat="1" applyFont="1" applyFill="1" applyBorder="1" applyAlignment="1">
      <alignment horizontal="center"/>
    </xf>
    <xf numFmtId="164" fontId="35" fillId="7" borderId="9" xfId="1" applyNumberFormat="1" applyFont="1" applyFill="1" applyBorder="1" applyAlignment="1">
      <alignment horizontal="left" indent="5"/>
    </xf>
    <xf numFmtId="1" fontId="38" fillId="7" borderId="36" xfId="1" applyNumberFormat="1" applyFont="1" applyFill="1" applyBorder="1" applyAlignment="1">
      <alignment horizontal="center"/>
    </xf>
    <xf numFmtId="0" fontId="41" fillId="0" borderId="0" xfId="1" applyFont="1" applyBorder="1"/>
    <xf numFmtId="164" fontId="38" fillId="7" borderId="36" xfId="1" applyNumberFormat="1" applyFont="1" applyFill="1" applyBorder="1" applyAlignment="1">
      <alignment horizontal="center"/>
    </xf>
    <xf numFmtId="164" fontId="35" fillId="0" borderId="0" xfId="1" applyNumberFormat="1" applyFont="1" applyBorder="1" applyAlignment="1">
      <alignment horizontal="center"/>
    </xf>
    <xf numFmtId="164" fontId="35" fillId="6" borderId="9" xfId="1" applyNumberFormat="1" applyFont="1" applyFill="1" applyBorder="1" applyAlignment="1" applyProtection="1">
      <alignment horizontal="center"/>
      <protection locked="0"/>
    </xf>
    <xf numFmtId="0" fontId="35" fillId="0" borderId="0" xfId="1" applyFont="1" applyBorder="1" applyAlignment="1">
      <alignment horizontal="left"/>
    </xf>
    <xf numFmtId="1" fontId="35" fillId="0" borderId="0" xfId="1" applyNumberFormat="1" applyFont="1" applyBorder="1"/>
    <xf numFmtId="49" fontId="35" fillId="0" borderId="0" xfId="1" applyNumberFormat="1" applyFont="1" applyFill="1" applyBorder="1"/>
    <xf numFmtId="0" fontId="35" fillId="0" borderId="0" xfId="1" applyFont="1" applyFill="1" applyBorder="1"/>
    <xf numFmtId="164" fontId="35" fillId="0" borderId="0" xfId="1" applyNumberFormat="1" applyFont="1" applyFill="1" applyBorder="1"/>
    <xf numFmtId="0" fontId="35" fillId="0" borderId="0" xfId="1" applyFont="1" applyFill="1" applyBorder="1" applyAlignment="1">
      <alignment horizontal="center"/>
    </xf>
    <xf numFmtId="1" fontId="35" fillId="0" borderId="0" xfId="1" applyNumberFormat="1" applyFont="1" applyFill="1" applyBorder="1"/>
    <xf numFmtId="0" fontId="35" fillId="0" borderId="0" xfId="1" applyFont="1" applyFill="1"/>
    <xf numFmtId="49" fontId="35" fillId="0" borderId="24" xfId="1" applyNumberFormat="1" applyFont="1" applyBorder="1" applyAlignment="1">
      <alignment horizontal="center"/>
    </xf>
    <xf numFmtId="0" fontId="35" fillId="0" borderId="24" xfId="1" applyFont="1" applyBorder="1"/>
    <xf numFmtId="164" fontId="35" fillId="7" borderId="9" xfId="1" quotePrefix="1" applyNumberFormat="1" applyFont="1" applyFill="1" applyBorder="1" applyAlignment="1">
      <alignment horizontal="center"/>
    </xf>
    <xf numFmtId="2" fontId="35" fillId="6" borderId="9" xfId="1" applyNumberFormat="1" applyFont="1" applyFill="1" applyBorder="1" applyAlignment="1" applyProtection="1">
      <alignment horizontal="center"/>
      <protection locked="0"/>
    </xf>
    <xf numFmtId="0" fontId="35" fillId="0" borderId="24" xfId="1" applyFont="1" applyFill="1" applyBorder="1"/>
    <xf numFmtId="2" fontId="35" fillId="0" borderId="0" xfId="1" applyNumberFormat="1" applyFont="1" applyBorder="1" applyAlignment="1">
      <alignment horizontal="center"/>
    </xf>
    <xf numFmtId="164" fontId="38" fillId="7" borderId="16" xfId="1" applyNumberFormat="1" applyFont="1" applyFill="1" applyBorder="1"/>
    <xf numFmtId="49" fontId="35" fillId="0" borderId="0" xfId="1" applyNumberFormat="1" applyFont="1" applyFill="1" applyBorder="1" applyAlignment="1">
      <alignment horizontal="left"/>
    </xf>
    <xf numFmtId="0" fontId="38" fillId="0" borderId="0" xfId="1" applyFont="1" applyFill="1" applyBorder="1"/>
    <xf numFmtId="164" fontId="35" fillId="0" borderId="0" xfId="1" applyNumberFormat="1" applyFont="1" applyFill="1" applyBorder="1" applyAlignment="1">
      <alignment horizontal="center"/>
    </xf>
    <xf numFmtId="49" fontId="38" fillId="0" borderId="0" xfId="1" applyNumberFormat="1" applyFont="1" applyFill="1" applyBorder="1"/>
    <xf numFmtId="0" fontId="41" fillId="0" borderId="0" xfId="1" applyFont="1" applyFill="1" applyBorder="1"/>
    <xf numFmtId="164" fontId="35" fillId="0" borderId="0" xfId="1" applyNumberFormat="1" applyFont="1" applyFill="1" applyBorder="1" applyAlignment="1">
      <alignment horizontal="left"/>
    </xf>
    <xf numFmtId="0" fontId="35" fillId="0" borderId="0" xfId="1" applyFont="1" applyFill="1" applyBorder="1" applyAlignment="1">
      <alignment horizontal="left"/>
    </xf>
    <xf numFmtId="0" fontId="35" fillId="0" borderId="0" xfId="1" applyFont="1" applyFill="1" applyAlignment="1">
      <alignment horizontal="center"/>
    </xf>
    <xf numFmtId="0" fontId="41" fillId="0" borderId="0" xfId="1" applyFont="1" applyFill="1" applyBorder="1" applyAlignment="1">
      <alignment horizontal="left"/>
    </xf>
    <xf numFmtId="0" fontId="35" fillId="0" borderId="0" xfId="1" applyFont="1" applyFill="1" applyBorder="1" applyAlignment="1"/>
    <xf numFmtId="0" fontId="35" fillId="0" borderId="7" xfId="1" applyFont="1" applyFill="1" applyBorder="1" applyAlignment="1">
      <alignment horizontal="center"/>
    </xf>
    <xf numFmtId="164" fontId="38" fillId="0" borderId="0" xfId="1" applyNumberFormat="1" applyFont="1" applyFill="1" applyBorder="1" applyAlignment="1">
      <alignment horizontal="right"/>
    </xf>
    <xf numFmtId="49" fontId="35" fillId="0" borderId="0" xfId="1" applyNumberFormat="1" applyFont="1" applyFill="1" applyAlignment="1">
      <alignment horizontal="left"/>
    </xf>
    <xf numFmtId="0" fontId="38" fillId="0" borderId="0" xfId="1" applyFont="1" applyFill="1" applyBorder="1" applyAlignment="1">
      <alignment horizontal="left"/>
    </xf>
    <xf numFmtId="164" fontId="35" fillId="7" borderId="36" xfId="1" applyNumberFormat="1" applyFont="1" applyFill="1" applyBorder="1" applyAlignment="1">
      <alignment horizontal="center"/>
    </xf>
    <xf numFmtId="0" fontId="2" fillId="8" borderId="13" xfId="1" applyFont="1" applyFill="1" applyBorder="1" applyAlignment="1">
      <alignment horizontal="center"/>
    </xf>
    <xf numFmtId="49" fontId="38" fillId="8" borderId="14" xfId="1" applyNumberFormat="1" applyFont="1" applyFill="1" applyBorder="1"/>
    <xf numFmtId="0" fontId="38" fillId="8" borderId="13" xfId="1" applyFont="1" applyFill="1" applyBorder="1"/>
    <xf numFmtId="0" fontId="38" fillId="8" borderId="12" xfId="1" applyFont="1" applyFill="1" applyBorder="1"/>
    <xf numFmtId="0" fontId="35" fillId="8" borderId="13" xfId="1" applyFont="1" applyFill="1" applyBorder="1" applyAlignment="1">
      <alignment horizontal="center"/>
    </xf>
    <xf numFmtId="0" fontId="35" fillId="8" borderId="13" xfId="1" applyFont="1" applyFill="1" applyBorder="1"/>
    <xf numFmtId="0" fontId="35" fillId="8" borderId="12" xfId="1" applyFont="1" applyFill="1" applyBorder="1" applyAlignment="1">
      <alignment horizontal="center"/>
    </xf>
    <xf numFmtId="0" fontId="35" fillId="8" borderId="12" xfId="1" applyFont="1" applyFill="1" applyBorder="1"/>
    <xf numFmtId="1" fontId="35" fillId="8" borderId="13" xfId="1" applyNumberFormat="1" applyFont="1" applyFill="1" applyBorder="1"/>
    <xf numFmtId="0" fontId="35" fillId="8" borderId="16" xfId="1" applyFont="1" applyFill="1" applyBorder="1"/>
    <xf numFmtId="164" fontId="38" fillId="8" borderId="16" xfId="1" applyNumberFormat="1" applyFont="1" applyFill="1" applyBorder="1"/>
    <xf numFmtId="0" fontId="35" fillId="8" borderId="16" xfId="1" applyFont="1" applyFill="1" applyBorder="1" applyAlignment="1">
      <alignment horizontal="center"/>
    </xf>
    <xf numFmtId="164" fontId="35" fillId="8" borderId="16" xfId="1" applyNumberFormat="1" applyFont="1" applyFill="1" applyBorder="1"/>
    <xf numFmtId="0" fontId="35" fillId="8" borderId="15" xfId="1" applyFont="1" applyFill="1" applyBorder="1"/>
    <xf numFmtId="49" fontId="35" fillId="8" borderId="14" xfId="1" applyNumberFormat="1" applyFont="1" applyFill="1" applyBorder="1"/>
    <xf numFmtId="49" fontId="35" fillId="8" borderId="17" xfId="1" applyNumberFormat="1" applyFont="1" applyFill="1" applyBorder="1"/>
    <xf numFmtId="0" fontId="35" fillId="0" borderId="0" xfId="1" applyFont="1" applyAlignment="1">
      <alignment vertical="top"/>
    </xf>
    <xf numFmtId="0" fontId="35" fillId="0" borderId="2" xfId="1" applyFont="1" applyBorder="1" applyAlignment="1">
      <alignment horizontal="center"/>
    </xf>
    <xf numFmtId="1" fontId="35" fillId="0" borderId="0" xfId="1" applyNumberFormat="1" applyFont="1" applyBorder="1" applyAlignment="1">
      <alignment horizontal="center"/>
    </xf>
    <xf numFmtId="170" fontId="35" fillId="6" borderId="9" xfId="1" applyNumberFormat="1" applyFont="1" applyFill="1" applyBorder="1" applyAlignment="1" applyProtection="1">
      <alignment horizontal="center"/>
      <protection locked="0"/>
    </xf>
    <xf numFmtId="49" fontId="41" fillId="0" borderId="0" xfId="1" applyNumberFormat="1" applyFont="1"/>
    <xf numFmtId="1" fontId="35" fillId="7" borderId="36" xfId="1" applyNumberFormat="1" applyFont="1" applyFill="1" applyBorder="1" applyAlignment="1">
      <alignment horizontal="center"/>
    </xf>
    <xf numFmtId="49" fontId="35" fillId="6" borderId="9" xfId="1" applyNumberFormat="1" applyFont="1" applyFill="1" applyBorder="1" applyAlignment="1" applyProtection="1">
      <alignment horizontal="center"/>
      <protection locked="0"/>
    </xf>
    <xf numFmtId="0" fontId="35" fillId="8" borderId="13" xfId="1" applyFont="1" applyFill="1" applyBorder="1" applyAlignment="1">
      <alignment vertical="top"/>
    </xf>
    <xf numFmtId="1" fontId="35" fillId="8" borderId="13" xfId="1" applyNumberFormat="1" applyFont="1" applyFill="1" applyBorder="1" applyAlignment="1">
      <alignment horizontal="center"/>
    </xf>
    <xf numFmtId="0" fontId="35" fillId="8" borderId="13" xfId="1" applyFont="1" applyFill="1" applyBorder="1" applyAlignment="1">
      <alignment horizontal="left"/>
    </xf>
    <xf numFmtId="0" fontId="38" fillId="0" borderId="0" xfId="1" applyFont="1" applyAlignment="1">
      <alignment horizontal="center"/>
    </xf>
    <xf numFmtId="0" fontId="35" fillId="8" borderId="9" xfId="1" applyFont="1" applyFill="1" applyBorder="1" applyAlignment="1" applyProtection="1">
      <alignment horizontal="center"/>
    </xf>
    <xf numFmtId="0" fontId="35" fillId="0" borderId="28" xfId="1" applyFont="1" applyBorder="1"/>
    <xf numFmtId="0" fontId="35" fillId="0" borderId="27" xfId="1" applyFont="1" applyBorder="1"/>
    <xf numFmtId="0" fontId="35" fillId="0" borderId="26" xfId="1" applyFont="1" applyBorder="1"/>
    <xf numFmtId="0" fontId="35" fillId="0" borderId="25" xfId="1" applyFont="1" applyBorder="1"/>
    <xf numFmtId="164" fontId="38" fillId="0" borderId="24" xfId="1" applyNumberFormat="1" applyFont="1" applyBorder="1" applyAlignment="1">
      <alignment horizontal="center"/>
    </xf>
    <xf numFmtId="0" fontId="35" fillId="0" borderId="23" xfId="1" applyFont="1" applyBorder="1"/>
    <xf numFmtId="49" fontId="35" fillId="8" borderId="13" xfId="1" applyNumberFormat="1" applyFont="1" applyFill="1" applyBorder="1" applyAlignment="1"/>
    <xf numFmtId="49" fontId="35" fillId="8" borderId="12" xfId="1" applyNumberFormat="1" applyFont="1" applyFill="1" applyBorder="1" applyAlignment="1"/>
    <xf numFmtId="49" fontId="38" fillId="8" borderId="14" xfId="1" applyNumberFormat="1" applyFont="1" applyFill="1" applyBorder="1" applyAlignment="1"/>
    <xf numFmtId="49" fontId="38" fillId="8" borderId="13" xfId="1" applyNumberFormat="1" applyFont="1" applyFill="1" applyBorder="1" applyAlignment="1"/>
    <xf numFmtId="49" fontId="38" fillId="9" borderId="0" xfId="1" applyNumberFormat="1" applyFont="1" applyFill="1" applyBorder="1"/>
    <xf numFmtId="0" fontId="35" fillId="9" borderId="0" xfId="1" applyFont="1" applyFill="1" applyBorder="1"/>
    <xf numFmtId="0" fontId="2" fillId="9" borderId="0" xfId="1" applyFont="1" applyFill="1" applyBorder="1"/>
    <xf numFmtId="2" fontId="38" fillId="0" borderId="0" xfId="1" applyNumberFormat="1" applyFont="1" applyBorder="1" applyAlignment="1">
      <alignment horizontal="left"/>
    </xf>
    <xf numFmtId="2" fontId="35" fillId="0" borderId="0" xfId="1" applyNumberFormat="1" applyFont="1" applyBorder="1" applyAlignment="1">
      <alignment horizontal="left"/>
    </xf>
    <xf numFmtId="0" fontId="35" fillId="7" borderId="36" xfId="1" applyFont="1" applyFill="1" applyBorder="1" applyAlignment="1">
      <alignment horizontal="center"/>
    </xf>
    <xf numFmtId="0" fontId="35" fillId="0" borderId="0" xfId="1" applyFont="1" applyBorder="1" applyAlignment="1">
      <alignment horizontal="right"/>
    </xf>
    <xf numFmtId="49" fontId="38" fillId="0" borderId="0" xfId="1" applyNumberFormat="1" applyFont="1" applyAlignment="1">
      <alignment horizontal="left"/>
    </xf>
    <xf numFmtId="2" fontId="35" fillId="7" borderId="36" xfId="1" applyNumberFormat="1" applyFont="1" applyFill="1" applyBorder="1" applyAlignment="1">
      <alignment horizontal="center"/>
    </xf>
    <xf numFmtId="0" fontId="41" fillId="0" borderId="0" xfId="1" applyFont="1" applyBorder="1" applyAlignment="1">
      <alignment horizontal="left"/>
    </xf>
    <xf numFmtId="0" fontId="35" fillId="3" borderId="0" xfId="1" applyFont="1" applyFill="1" applyBorder="1" applyAlignment="1">
      <alignment horizontal="center"/>
    </xf>
    <xf numFmtId="49" fontId="35" fillId="0" borderId="0" xfId="1" applyNumberFormat="1" applyFont="1" applyAlignment="1">
      <alignment horizontal="center"/>
    </xf>
    <xf numFmtId="0" fontId="2" fillId="0" borderId="0" xfId="1" applyFont="1" applyAlignment="1">
      <alignment horizontal="right"/>
    </xf>
    <xf numFmtId="2" fontId="38" fillId="8" borderId="13" xfId="1" applyNumberFormat="1" applyFont="1" applyFill="1" applyBorder="1" applyAlignment="1">
      <alignment horizontal="left"/>
    </xf>
    <xf numFmtId="49" fontId="38" fillId="8" borderId="14" xfId="1" applyNumberFormat="1" applyFont="1" applyFill="1" applyBorder="1" applyAlignment="1">
      <alignment horizontal="left"/>
    </xf>
    <xf numFmtId="49" fontId="38" fillId="8" borderId="13" xfId="1" applyNumberFormat="1" applyFont="1" applyFill="1" applyBorder="1"/>
    <xf numFmtId="0" fontId="38" fillId="8" borderId="13" xfId="1" applyFont="1" applyFill="1" applyBorder="1" applyAlignment="1">
      <alignment horizontal="center"/>
    </xf>
    <xf numFmtId="1" fontId="35" fillId="6" borderId="9" xfId="1" applyNumberFormat="1" applyFont="1" applyFill="1" applyBorder="1" applyAlignment="1" applyProtection="1">
      <alignment horizontal="center"/>
      <protection locked="0"/>
    </xf>
    <xf numFmtId="0" fontId="35" fillId="8" borderId="13" xfId="1" quotePrefix="1" applyFont="1" applyFill="1" applyBorder="1" applyAlignment="1">
      <alignment horizontal="center"/>
    </xf>
    <xf numFmtId="0" fontId="35" fillId="8" borderId="13" xfId="1" quotePrefix="1" applyFont="1" applyFill="1" applyBorder="1" applyAlignment="1">
      <alignment horizontal="left"/>
    </xf>
    <xf numFmtId="49" fontId="35" fillId="8" borderId="13" xfId="1" applyNumberFormat="1" applyFont="1" applyFill="1" applyBorder="1" applyAlignment="1">
      <alignment horizontal="center"/>
    </xf>
    <xf numFmtId="0" fontId="38" fillId="8" borderId="13" xfId="1" quotePrefix="1" applyFont="1" applyFill="1" applyBorder="1"/>
    <xf numFmtId="49" fontId="12" fillId="0" borderId="0" xfId="1" applyNumberFormat="1" applyFont="1"/>
    <xf numFmtId="49" fontId="2" fillId="8" borderId="14" xfId="1" applyNumberFormat="1" applyFont="1" applyFill="1" applyBorder="1"/>
    <xf numFmtId="0" fontId="12" fillId="8" borderId="13" xfId="1" applyFont="1" applyFill="1" applyBorder="1"/>
    <xf numFmtId="0" fontId="10" fillId="7" borderId="36" xfId="1" applyFont="1" applyFill="1" applyBorder="1" applyAlignment="1">
      <alignment horizontal="center"/>
    </xf>
    <xf numFmtId="0" fontId="50" fillId="0" borderId="0" xfId="1" applyFont="1"/>
    <xf numFmtId="0" fontId="11" fillId="8" borderId="13" xfId="1" applyFont="1" applyFill="1" applyBorder="1"/>
    <xf numFmtId="0" fontId="2" fillId="0" borderId="0" xfId="1" applyFont="1" applyBorder="1" applyAlignment="1">
      <alignment horizontal="right"/>
    </xf>
    <xf numFmtId="165" fontId="2" fillId="0" borderId="0" xfId="1" applyNumberFormat="1" applyFont="1" applyBorder="1" applyAlignment="1">
      <alignment horizontal="center"/>
    </xf>
    <xf numFmtId="2" fontId="11" fillId="8" borderId="13" xfId="1" applyNumberFormat="1" applyFont="1" applyFill="1" applyBorder="1"/>
    <xf numFmtId="0" fontId="11" fillId="8" borderId="13" xfId="1" applyFont="1" applyFill="1" applyBorder="1" applyAlignment="1">
      <alignment horizontal="center"/>
    </xf>
    <xf numFmtId="0" fontId="11" fillId="0" borderId="0" xfId="1" applyFont="1" applyBorder="1" applyAlignment="1">
      <alignment horizontal="center"/>
    </xf>
    <xf numFmtId="164" fontId="2" fillId="0" borderId="0" xfId="1" applyNumberFormat="1" applyFont="1" applyBorder="1"/>
    <xf numFmtId="49" fontId="10" fillId="8" borderId="8" xfId="1" applyNumberFormat="1" applyFont="1" applyFill="1" applyBorder="1"/>
    <xf numFmtId="0" fontId="2" fillId="8" borderId="7" xfId="1" applyFont="1" applyFill="1" applyBorder="1"/>
    <xf numFmtId="0" fontId="2" fillId="8" borderId="6" xfId="1" applyFont="1" applyFill="1" applyBorder="1"/>
    <xf numFmtId="49" fontId="2" fillId="8" borderId="5" xfId="1" applyNumberFormat="1" applyFont="1" applyFill="1" applyBorder="1"/>
    <xf numFmtId="0" fontId="2" fillId="8" borderId="4" xfId="1" applyFont="1" applyFill="1" applyBorder="1"/>
    <xf numFmtId="49" fontId="2" fillId="8" borderId="3" xfId="1" applyNumberFormat="1" applyFont="1" applyFill="1" applyBorder="1"/>
    <xf numFmtId="0" fontId="2" fillId="8" borderId="2" xfId="1" applyFont="1" applyFill="1" applyBorder="1"/>
    <xf numFmtId="0" fontId="10" fillId="8" borderId="2" xfId="1" applyFont="1" applyFill="1" applyBorder="1" applyAlignment="1">
      <alignment horizontal="center"/>
    </xf>
    <xf numFmtId="0" fontId="2" fillId="8" borderId="1" xfId="1" applyFont="1" applyFill="1" applyBorder="1"/>
    <xf numFmtId="0" fontId="2" fillId="0" borderId="7" xfId="1" applyFont="1" applyBorder="1" applyAlignment="1">
      <alignment horizontal="center"/>
    </xf>
    <xf numFmtId="0" fontId="2" fillId="0" borderId="6" xfId="1" applyFont="1" applyBorder="1" applyAlignment="1">
      <alignment horizontal="center"/>
    </xf>
    <xf numFmtId="49" fontId="10" fillId="0" borderId="0" xfId="1" applyNumberFormat="1" applyFont="1" applyAlignment="1">
      <alignment horizontal="left"/>
    </xf>
    <xf numFmtId="0" fontId="10" fillId="0" borderId="0" xfId="1" applyFont="1" applyAlignment="1">
      <alignment horizontal="center"/>
    </xf>
    <xf numFmtId="0" fontId="11" fillId="0" borderId="0" xfId="1" applyFont="1" applyBorder="1" applyAlignment="1">
      <alignment horizontal="left"/>
    </xf>
    <xf numFmtId="0" fontId="53" fillId="0" borderId="0" xfId="1" applyFont="1" applyBorder="1"/>
    <xf numFmtId="2" fontId="35" fillId="7" borderId="11" xfId="1" applyNumberFormat="1" applyFont="1" applyFill="1" applyBorder="1" applyAlignment="1">
      <alignment horizontal="center"/>
    </xf>
    <xf numFmtId="164" fontId="35" fillId="7" borderId="10" xfId="1" applyNumberFormat="1" applyFont="1" applyFill="1" applyBorder="1" applyAlignment="1">
      <alignment horizontal="center"/>
    </xf>
    <xf numFmtId="2" fontId="35" fillId="7" borderId="9" xfId="1" applyNumberFormat="1" applyFont="1" applyFill="1" applyBorder="1"/>
    <xf numFmtId="0" fontId="53" fillId="0" borderId="0" xfId="1" applyFont="1"/>
    <xf numFmtId="164" fontId="38" fillId="7" borderId="16" xfId="1" applyNumberFormat="1" applyFont="1" applyFill="1" applyBorder="1" applyAlignment="1">
      <alignment horizontal="center"/>
    </xf>
    <xf numFmtId="0" fontId="38" fillId="7" borderId="16" xfId="1" applyFont="1" applyFill="1" applyBorder="1" applyAlignment="1">
      <alignment horizontal="center"/>
    </xf>
    <xf numFmtId="0" fontId="38" fillId="7" borderId="16" xfId="1" applyFont="1" applyFill="1" applyBorder="1"/>
    <xf numFmtId="0" fontId="38" fillId="7" borderId="15" xfId="1" applyFont="1" applyFill="1" applyBorder="1"/>
    <xf numFmtId="0" fontId="41" fillId="0" borderId="0" xfId="1" applyFont="1" applyFill="1" applyBorder="1" applyAlignment="1"/>
    <xf numFmtId="164" fontId="35" fillId="7" borderId="11" xfId="1" applyNumberFormat="1" applyFont="1" applyFill="1" applyBorder="1" applyAlignment="1">
      <alignment horizontal="center"/>
    </xf>
    <xf numFmtId="164" fontId="35" fillId="0" borderId="0" xfId="1" applyNumberFormat="1" applyFont="1" applyFill="1" applyBorder="1" applyAlignment="1">
      <alignment horizontal="right"/>
    </xf>
    <xf numFmtId="0" fontId="56" fillId="8" borderId="13" xfId="2" applyFont="1" applyFill="1" applyBorder="1" applyAlignment="1" applyProtection="1">
      <alignment horizontal="right"/>
    </xf>
    <xf numFmtId="0" fontId="57" fillId="8" borderId="13" xfId="2" applyFont="1" applyFill="1" applyBorder="1" applyAlignment="1" applyProtection="1"/>
    <xf numFmtId="0" fontId="0" fillId="0" borderId="0" xfId="0" applyNumberFormat="1"/>
    <xf numFmtId="0" fontId="2" fillId="8" borderId="9" xfId="1" applyFont="1" applyFill="1" applyBorder="1" applyAlignment="1">
      <alignment horizontal="center"/>
    </xf>
    <xf numFmtId="164" fontId="10" fillId="8" borderId="36" xfId="1" applyNumberFormat="1" applyFont="1" applyFill="1" applyBorder="1" applyAlignment="1">
      <alignment horizontal="center"/>
    </xf>
    <xf numFmtId="2" fontId="10" fillId="7" borderId="36" xfId="1" applyNumberFormat="1" applyFont="1" applyFill="1" applyBorder="1" applyAlignment="1">
      <alignment horizontal="center"/>
    </xf>
    <xf numFmtId="49" fontId="2" fillId="0" borderId="0" xfId="1" applyNumberFormat="1" applyFont="1" applyAlignment="1">
      <alignment horizontal="left"/>
    </xf>
    <xf numFmtId="0" fontId="10" fillId="0" borderId="0" xfId="1" applyFont="1" applyAlignment="1">
      <alignment horizontal="right"/>
    </xf>
    <xf numFmtId="164" fontId="2" fillId="0" borderId="40" xfId="1" applyNumberFormat="1" applyFont="1" applyBorder="1" applyAlignment="1" applyProtection="1">
      <alignment horizontal="center"/>
      <protection locked="0"/>
    </xf>
    <xf numFmtId="0" fontId="2" fillId="0" borderId="40" xfId="1" applyFont="1" applyBorder="1" applyAlignment="1" applyProtection="1">
      <alignment horizontal="center"/>
      <protection locked="0"/>
    </xf>
    <xf numFmtId="0" fontId="2" fillId="2" borderId="0" xfId="1" applyFont="1" applyFill="1"/>
    <xf numFmtId="0" fontId="2" fillId="2" borderId="0" xfId="1" applyFont="1" applyFill="1" applyBorder="1" applyAlignment="1">
      <alignment horizontal="right"/>
    </xf>
    <xf numFmtId="164" fontId="2" fillId="2" borderId="41" xfId="1" applyNumberFormat="1" applyFont="1" applyFill="1" applyBorder="1" applyAlignment="1" applyProtection="1">
      <alignment horizontal="center"/>
      <protection locked="0"/>
    </xf>
    <xf numFmtId="0" fontId="2" fillId="2" borderId="40" xfId="1" applyFont="1" applyFill="1" applyBorder="1" applyAlignment="1" applyProtection="1">
      <alignment horizontal="center"/>
      <protection locked="0"/>
    </xf>
    <xf numFmtId="164" fontId="2" fillId="0" borderId="41" xfId="1" applyNumberFormat="1" applyFont="1" applyBorder="1" applyAlignment="1" applyProtection="1">
      <alignment horizontal="center"/>
      <protection locked="0"/>
    </xf>
    <xf numFmtId="0" fontId="2" fillId="0" borderId="41" xfId="1" applyFont="1" applyBorder="1" applyAlignment="1" applyProtection="1">
      <alignment horizontal="center"/>
      <protection locked="0"/>
    </xf>
    <xf numFmtId="0" fontId="2" fillId="2" borderId="41" xfId="1" applyFont="1" applyFill="1" applyBorder="1" applyAlignment="1" applyProtection="1">
      <alignment horizontal="center"/>
      <protection locked="0"/>
    </xf>
    <xf numFmtId="164" fontId="2" fillId="0" borderId="2" xfId="1" applyNumberFormat="1" applyFont="1" applyBorder="1" applyAlignment="1">
      <alignment horizontal="center"/>
    </xf>
    <xf numFmtId="164" fontId="10" fillId="7" borderId="9" xfId="1" applyNumberFormat="1" applyFont="1" applyFill="1" applyBorder="1" applyAlignment="1">
      <alignment horizontal="center"/>
    </xf>
    <xf numFmtId="0" fontId="2" fillId="2" borderId="0" xfId="1" applyFont="1" applyFill="1" applyAlignment="1">
      <alignment horizontal="right"/>
    </xf>
    <xf numFmtId="164" fontId="2" fillId="2" borderId="13" xfId="1" applyNumberFormat="1" applyFont="1" applyFill="1" applyBorder="1" applyAlignment="1">
      <alignment horizontal="center"/>
    </xf>
    <xf numFmtId="1" fontId="2" fillId="2" borderId="0" xfId="1" applyNumberFormat="1" applyFont="1" applyFill="1" applyBorder="1" applyAlignment="1">
      <alignment horizontal="center"/>
    </xf>
    <xf numFmtId="49" fontId="2" fillId="2" borderId="0" xfId="1" applyNumberFormat="1" applyFont="1" applyFill="1"/>
    <xf numFmtId="1" fontId="2" fillId="2" borderId="0" xfId="1" applyNumberFormat="1" applyFont="1" applyFill="1" applyAlignment="1">
      <alignment horizontal="center"/>
    </xf>
    <xf numFmtId="164" fontId="2" fillId="2" borderId="2" xfId="1" applyNumberFormat="1" applyFont="1" applyFill="1" applyBorder="1" applyAlignment="1">
      <alignment horizontal="center"/>
    </xf>
    <xf numFmtId="0" fontId="2" fillId="2" borderId="0" xfId="1" applyFont="1" applyFill="1" applyAlignment="1">
      <alignment horizontal="center"/>
    </xf>
    <xf numFmtId="164" fontId="2" fillId="0" borderId="13" xfId="1" applyNumberFormat="1" applyFont="1" applyBorder="1" applyAlignment="1">
      <alignment horizontal="center"/>
    </xf>
    <xf numFmtId="1" fontId="2" fillId="0" borderId="0" xfId="1" applyNumberFormat="1" applyFont="1" applyFill="1" applyBorder="1" applyAlignment="1">
      <alignment horizontal="center"/>
    </xf>
    <xf numFmtId="49" fontId="2" fillId="0" borderId="0" xfId="1" applyNumberFormat="1" applyFont="1" applyFill="1"/>
    <xf numFmtId="1" fontId="2" fillId="0" borderId="0" xfId="1" applyNumberFormat="1" applyFont="1" applyFill="1" applyAlignment="1">
      <alignment horizontal="center"/>
    </xf>
    <xf numFmtId="49" fontId="2" fillId="2" borderId="0" xfId="1" applyNumberFormat="1" applyFont="1" applyFill="1" applyBorder="1"/>
    <xf numFmtId="49" fontId="2" fillId="6" borderId="9" xfId="1" applyNumberFormat="1" applyFont="1" applyFill="1" applyBorder="1" applyAlignment="1" applyProtection="1">
      <alignment horizontal="center"/>
      <protection locked="0"/>
    </xf>
    <xf numFmtId="2" fontId="2" fillId="6" borderId="9" xfId="1" applyNumberFormat="1" applyFont="1" applyFill="1" applyBorder="1" applyAlignment="1" applyProtection="1">
      <alignment horizontal="center"/>
      <protection locked="0"/>
    </xf>
    <xf numFmtId="164" fontId="2" fillId="2" borderId="0" xfId="1" applyNumberFormat="1" applyFont="1" applyFill="1" applyBorder="1" applyAlignment="1">
      <alignment horizontal="center"/>
    </xf>
    <xf numFmtId="0" fontId="2" fillId="2" borderId="0" xfId="1" applyFont="1" applyFill="1" applyBorder="1"/>
    <xf numFmtId="2" fontId="2" fillId="6" borderId="10" xfId="1" applyNumberFormat="1" applyFont="1" applyFill="1" applyBorder="1" applyAlignment="1" applyProtection="1">
      <alignment horizontal="center"/>
      <protection locked="0"/>
    </xf>
    <xf numFmtId="2" fontId="2" fillId="0" borderId="0" xfId="1" applyNumberFormat="1" applyFont="1" applyBorder="1" applyAlignment="1">
      <alignment horizontal="center"/>
    </xf>
    <xf numFmtId="164" fontId="2" fillId="0" borderId="0" xfId="1" applyNumberFormat="1" applyFont="1" applyBorder="1" applyAlignment="1">
      <alignment horizontal="right"/>
    </xf>
    <xf numFmtId="0" fontId="10" fillId="0" borderId="0" xfId="1" applyFont="1" applyAlignment="1">
      <alignment horizontal="left"/>
    </xf>
    <xf numFmtId="0" fontId="10" fillId="0" borderId="0" xfId="1" applyFont="1" applyBorder="1" applyAlignment="1">
      <alignment horizontal="right"/>
    </xf>
    <xf numFmtId="1" fontId="2" fillId="7" borderId="36" xfId="1" applyNumberFormat="1" applyFont="1" applyFill="1" applyBorder="1" applyAlignment="1">
      <alignment horizontal="center"/>
    </xf>
    <xf numFmtId="1" fontId="2" fillId="0" borderId="0" xfId="1" applyNumberFormat="1" applyFont="1" applyBorder="1" applyAlignment="1">
      <alignment horizontal="center"/>
    </xf>
    <xf numFmtId="2" fontId="2" fillId="0" borderId="0" xfId="1" applyNumberFormat="1" applyFont="1" applyBorder="1" applyAlignment="1">
      <alignment horizontal="right"/>
    </xf>
    <xf numFmtId="49" fontId="11" fillId="0" borderId="0" xfId="1" applyNumberFormat="1" applyFont="1" applyBorder="1"/>
    <xf numFmtId="2" fontId="2" fillId="7" borderId="9" xfId="1" applyNumberFormat="1" applyFont="1" applyFill="1" applyBorder="1" applyAlignment="1">
      <alignment horizontal="left" indent="1"/>
    </xf>
    <xf numFmtId="2" fontId="2" fillId="0" borderId="0" xfId="1" applyNumberFormat="1" applyFont="1" applyBorder="1" applyAlignment="1">
      <alignment horizontal="left" indent="1"/>
    </xf>
    <xf numFmtId="164" fontId="2" fillId="2" borderId="0" xfId="1" applyNumberFormat="1" applyFont="1" applyFill="1" applyBorder="1" applyAlignment="1">
      <alignment horizontal="right"/>
    </xf>
    <xf numFmtId="164" fontId="10" fillId="0" borderId="0" xfId="1" applyNumberFormat="1" applyFont="1" applyBorder="1" applyAlignment="1">
      <alignment horizontal="right"/>
    </xf>
    <xf numFmtId="0" fontId="2" fillId="0" borderId="7" xfId="1" applyFont="1" applyBorder="1" applyAlignment="1"/>
    <xf numFmtId="0" fontId="2" fillId="0" borderId="2" xfId="1" applyFont="1" applyBorder="1" applyAlignment="1">
      <alignment horizontal="center"/>
    </xf>
    <xf numFmtId="0" fontId="2" fillId="0" borderId="1" xfId="1" applyFont="1" applyBorder="1" applyAlignment="1">
      <alignment horizontal="center"/>
    </xf>
    <xf numFmtId="0" fontId="2" fillId="0" borderId="5" xfId="1" applyFont="1" applyBorder="1" applyAlignment="1">
      <alignment horizontal="right"/>
    </xf>
    <xf numFmtId="49" fontId="2" fillId="0" borderId="40" xfId="1" applyNumberFormat="1" applyFont="1" applyBorder="1" applyAlignment="1" applyProtection="1">
      <alignment horizontal="center"/>
      <protection locked="0"/>
    </xf>
    <xf numFmtId="164" fontId="2" fillId="0" borderId="7" xfId="1" applyNumberFormat="1" applyFont="1" applyBorder="1" applyAlignment="1">
      <alignment horizontal="center"/>
    </xf>
    <xf numFmtId="2" fontId="2" fillId="0" borderId="7" xfId="1" applyNumberFormat="1" applyFont="1" applyBorder="1" applyAlignment="1">
      <alignment horizontal="center"/>
    </xf>
    <xf numFmtId="164" fontId="2" fillId="0" borderId="6" xfId="1" applyNumberFormat="1" applyFont="1" applyFill="1" applyBorder="1" applyAlignment="1">
      <alignment horizontal="center"/>
    </xf>
    <xf numFmtId="0" fontId="2" fillId="2" borderId="5" xfId="1" applyFont="1" applyFill="1" applyBorder="1" applyAlignment="1">
      <alignment horizontal="right"/>
    </xf>
    <xf numFmtId="49" fontId="2" fillId="2" borderId="41" xfId="1" applyNumberFormat="1" applyFont="1" applyFill="1" applyBorder="1" applyAlignment="1" applyProtection="1">
      <alignment horizontal="center"/>
      <protection locked="0"/>
    </xf>
    <xf numFmtId="2" fontId="2" fillId="2" borderId="0" xfId="1" applyNumberFormat="1" applyFont="1" applyFill="1" applyBorder="1" applyAlignment="1">
      <alignment horizontal="center"/>
    </xf>
    <xf numFmtId="164" fontId="2" fillId="2" borderId="4" xfId="1" applyNumberFormat="1" applyFont="1" applyFill="1" applyBorder="1" applyAlignment="1">
      <alignment horizontal="center"/>
    </xf>
    <xf numFmtId="49" fontId="2" fillId="0" borderId="41" xfId="1" applyNumberFormat="1" applyFont="1" applyBorder="1" applyAlignment="1" applyProtection="1">
      <alignment horizontal="center"/>
      <protection locked="0"/>
    </xf>
    <xf numFmtId="164" fontId="2" fillId="0" borderId="4" xfId="1" applyNumberFormat="1" applyFont="1" applyFill="1" applyBorder="1" applyAlignment="1">
      <alignment horizontal="center"/>
    </xf>
    <xf numFmtId="0" fontId="2" fillId="0" borderId="3" xfId="1" applyFont="1" applyBorder="1" applyAlignment="1">
      <alignment horizontal="right"/>
    </xf>
    <xf numFmtId="0" fontId="2" fillId="2" borderId="3" xfId="1" applyFont="1" applyFill="1" applyBorder="1" applyAlignment="1">
      <alignment horizontal="right"/>
    </xf>
    <xf numFmtId="0" fontId="2" fillId="2" borderId="2" xfId="1" applyFont="1" applyFill="1" applyBorder="1"/>
    <xf numFmtId="2" fontId="2" fillId="2" borderId="2" xfId="1" applyNumberFormat="1" applyFont="1" applyFill="1" applyBorder="1" applyAlignment="1">
      <alignment horizontal="center"/>
    </xf>
    <xf numFmtId="164" fontId="2" fillId="2" borderId="1" xfId="1" applyNumberFormat="1" applyFont="1" applyFill="1" applyBorder="1" applyAlignment="1">
      <alignment horizontal="center"/>
    </xf>
    <xf numFmtId="164" fontId="2" fillId="0" borderId="0" xfId="1" applyNumberFormat="1" applyFont="1" applyBorder="1" applyAlignment="1">
      <alignment horizontal="left"/>
    </xf>
    <xf numFmtId="0" fontId="38" fillId="8" borderId="13" xfId="1" applyFont="1" applyFill="1" applyBorder="1" applyAlignment="1">
      <alignment horizontal="right"/>
    </xf>
    <xf numFmtId="0" fontId="10" fillId="8" borderId="13" xfId="1" applyFont="1" applyFill="1" applyBorder="1" applyAlignment="1">
      <alignment horizontal="center"/>
    </xf>
    <xf numFmtId="0" fontId="35" fillId="0" borderId="0" xfId="2" applyFont="1" applyAlignment="1" applyProtection="1">
      <alignment horizontal="right"/>
    </xf>
    <xf numFmtId="0" fontId="19" fillId="3" borderId="0" xfId="1" applyFont="1" applyFill="1" applyBorder="1" applyAlignment="1">
      <alignment horizontal="right"/>
    </xf>
    <xf numFmtId="0" fontId="20" fillId="0" borderId="0" xfId="1" applyFont="1" applyAlignment="1">
      <alignment horizontal="center"/>
    </xf>
    <xf numFmtId="0" fontId="35" fillId="6" borderId="9" xfId="2" applyFont="1" applyFill="1" applyBorder="1" applyAlignment="1" applyProtection="1">
      <alignment horizontal="center"/>
      <protection locked="0"/>
    </xf>
    <xf numFmtId="0" fontId="35" fillId="0" borderId="0" xfId="2" applyFont="1" applyAlignment="1" applyProtection="1">
      <alignment horizontal="right"/>
    </xf>
    <xf numFmtId="0" fontId="35" fillId="0" borderId="0" xfId="2" applyFont="1" applyBorder="1" applyAlignment="1" applyProtection="1">
      <alignment horizontal="left"/>
    </xf>
    <xf numFmtId="0" fontId="35" fillId="0" borderId="13" xfId="2" applyFont="1" applyBorder="1" applyAlignment="1">
      <alignment horizontal="center" vertical="center"/>
    </xf>
    <xf numFmtId="0" fontId="35" fillId="0" borderId="9" xfId="2" applyFont="1" applyBorder="1" applyAlignment="1" applyProtection="1">
      <alignment horizontal="center"/>
      <protection locked="0"/>
    </xf>
    <xf numFmtId="0" fontId="35" fillId="6" borderId="9" xfId="2" applyFont="1" applyFill="1" applyBorder="1" applyAlignment="1" applyProtection="1">
      <alignment horizontal="center"/>
      <protection locked="0"/>
    </xf>
    <xf numFmtId="0" fontId="35" fillId="0" borderId="0" xfId="1" applyFont="1" applyAlignment="1">
      <alignment horizontal="left"/>
    </xf>
    <xf numFmtId="0" fontId="35" fillId="0" borderId="0" xfId="1" applyFont="1" applyAlignment="1">
      <alignment horizontal="right"/>
    </xf>
    <xf numFmtId="0" fontId="52" fillId="0" borderId="0" xfId="0" applyFont="1"/>
    <xf numFmtId="0" fontId="35" fillId="0" borderId="0" xfId="1" applyFont="1" applyBorder="1" applyAlignment="1">
      <alignment horizontal="left"/>
    </xf>
    <xf numFmtId="0" fontId="35" fillId="0" borderId="0" xfId="1" applyFont="1" applyAlignment="1">
      <alignment horizontal="left"/>
    </xf>
    <xf numFmtId="0" fontId="3" fillId="0" borderId="0" xfId="1" applyFont="1" applyAlignment="1"/>
    <xf numFmtId="2" fontId="3" fillId="0" borderId="0" xfId="1" applyNumberFormat="1" applyFont="1"/>
    <xf numFmtId="0" fontId="3" fillId="0" borderId="0" xfId="1" applyFont="1" applyBorder="1" applyAlignment="1"/>
    <xf numFmtId="2" fontId="3" fillId="0" borderId="0" xfId="1" applyNumberFormat="1" applyFont="1" applyBorder="1" applyAlignment="1">
      <alignment horizontal="center"/>
    </xf>
    <xf numFmtId="0" fontId="4" fillId="0" borderId="0" xfId="1" applyFont="1" applyBorder="1" applyAlignment="1">
      <alignment horizontal="center"/>
    </xf>
    <xf numFmtId="2" fontId="35" fillId="0" borderId="0" xfId="1" applyNumberFormat="1" applyFont="1" applyBorder="1"/>
    <xf numFmtId="1" fontId="35" fillId="0" borderId="0" xfId="1" applyNumberFormat="1" applyFont="1" applyAlignment="1">
      <alignment horizontal="center"/>
    </xf>
    <xf numFmtId="164" fontId="35" fillId="0" borderId="2" xfId="1" applyNumberFormat="1" applyFont="1" applyBorder="1" applyAlignment="1">
      <alignment horizontal="center"/>
    </xf>
    <xf numFmtId="164" fontId="35" fillId="0" borderId="0" xfId="1" applyNumberFormat="1" applyFont="1" applyBorder="1" applyAlignment="1">
      <alignment horizontal="left"/>
    </xf>
    <xf numFmtId="1" fontId="35" fillId="0" borderId="0" xfId="1" applyNumberFormat="1" applyFont="1"/>
    <xf numFmtId="164" fontId="35" fillId="0" borderId="0" xfId="1" applyNumberFormat="1" applyFont="1" applyBorder="1" applyAlignment="1">
      <alignment horizontal="left" textRotation="90"/>
    </xf>
    <xf numFmtId="49" fontId="35" fillId="0" borderId="0" xfId="1" applyNumberFormat="1" applyFont="1" applyAlignment="1">
      <alignment textRotation="90"/>
    </xf>
    <xf numFmtId="0" fontId="38" fillId="0" borderId="0" xfId="1" applyFont="1" applyAlignment="1">
      <alignment horizontal="left"/>
    </xf>
    <xf numFmtId="164" fontId="35" fillId="0" borderId="2" xfId="1" applyNumberFormat="1" applyFont="1" applyBorder="1"/>
    <xf numFmtId="0" fontId="35" fillId="0" borderId="0" xfId="1" applyFont="1" applyAlignment="1">
      <alignment textRotation="90"/>
    </xf>
    <xf numFmtId="0" fontId="35" fillId="0" borderId="0" xfId="1" applyFont="1" applyAlignment="1"/>
    <xf numFmtId="2" fontId="35" fillId="8" borderId="13" xfId="1" applyNumberFormat="1" applyFont="1" applyFill="1" applyBorder="1"/>
    <xf numFmtId="0" fontId="35" fillId="8" borderId="9" xfId="1" applyFont="1" applyFill="1" applyBorder="1" applyAlignment="1">
      <alignment horizontal="center"/>
    </xf>
    <xf numFmtId="0" fontId="38" fillId="8" borderId="9" xfId="1" applyFont="1" applyFill="1" applyBorder="1" applyAlignment="1">
      <alignment horizontal="center"/>
    </xf>
    <xf numFmtId="0" fontId="35" fillId="0" borderId="13" xfId="1" applyFont="1" applyBorder="1" applyAlignment="1">
      <alignment horizontal="center"/>
    </xf>
    <xf numFmtId="2" fontId="35" fillId="8" borderId="9" xfId="1" applyNumberFormat="1" applyFont="1" applyFill="1" applyBorder="1" applyAlignment="1">
      <alignment horizontal="center" vertical="center"/>
    </xf>
    <xf numFmtId="0" fontId="35" fillId="8" borderId="9" xfId="1" applyFont="1" applyFill="1" applyBorder="1" applyAlignment="1">
      <alignment horizontal="center" vertical="center"/>
    </xf>
    <xf numFmtId="164" fontId="38" fillId="8" borderId="36" xfId="1" applyNumberFormat="1" applyFont="1" applyFill="1" applyBorder="1" applyAlignment="1">
      <alignment horizontal="center"/>
    </xf>
    <xf numFmtId="0" fontId="38" fillId="8" borderId="36" xfId="1" applyFont="1" applyFill="1" applyBorder="1" applyAlignment="1">
      <alignment horizontal="center"/>
    </xf>
    <xf numFmtId="1" fontId="35" fillId="0" borderId="42" xfId="1" applyNumberFormat="1" applyFont="1" applyBorder="1" applyAlignment="1">
      <alignment horizontal="center"/>
    </xf>
    <xf numFmtId="0" fontId="35" fillId="0" borderId="42" xfId="1" applyFont="1" applyBorder="1"/>
    <xf numFmtId="0" fontId="35" fillId="0" borderId="42" xfId="1" applyFont="1" applyBorder="1" applyAlignment="1">
      <alignment horizontal="center"/>
    </xf>
    <xf numFmtId="164" fontId="35" fillId="8" borderId="9" xfId="1" applyNumberFormat="1" applyFont="1" applyFill="1" applyBorder="1" applyAlignment="1">
      <alignment horizontal="center"/>
    </xf>
    <xf numFmtId="0" fontId="35" fillId="0" borderId="42" xfId="1" applyFont="1" applyBorder="1" applyAlignment="1">
      <alignment horizontal="left"/>
    </xf>
    <xf numFmtId="164" fontId="35" fillId="0" borderId="42" xfId="1" applyNumberFormat="1" applyFont="1" applyBorder="1" applyAlignment="1">
      <alignment horizontal="center"/>
    </xf>
    <xf numFmtId="164" fontId="35" fillId="0" borderId="42" xfId="1" applyNumberFormat="1" applyFont="1" applyBorder="1" applyAlignment="1">
      <alignment horizontal="left"/>
    </xf>
    <xf numFmtId="1" fontId="38" fillId="0" borderId="0" xfId="1" applyNumberFormat="1" applyFont="1" applyAlignment="1">
      <alignment horizontal="center"/>
    </xf>
    <xf numFmtId="49" fontId="35" fillId="8" borderId="9" xfId="1" applyNumberFormat="1" applyFont="1" applyFill="1" applyBorder="1" applyAlignment="1">
      <alignment horizontal="center"/>
    </xf>
    <xf numFmtId="1" fontId="38" fillId="8" borderId="36" xfId="1" applyNumberFormat="1" applyFont="1" applyFill="1" applyBorder="1" applyAlignment="1">
      <alignment horizontal="center"/>
    </xf>
    <xf numFmtId="0" fontId="52" fillId="8" borderId="9" xfId="0" applyFont="1" applyFill="1" applyBorder="1" applyAlignment="1">
      <alignment horizontal="right"/>
    </xf>
    <xf numFmtId="0" fontId="52" fillId="0" borderId="0" xfId="0" applyFont="1" applyAlignment="1">
      <alignment horizontal="right"/>
    </xf>
    <xf numFmtId="0" fontId="52" fillId="0" borderId="0" xfId="0" applyFont="1" applyAlignment="1">
      <alignment horizontal="center"/>
    </xf>
    <xf numFmtId="0" fontId="52" fillId="0" borderId="0" xfId="0" applyFont="1" applyAlignment="1">
      <alignment horizontal="left"/>
    </xf>
    <xf numFmtId="0" fontId="52" fillId="0" borderId="0" xfId="0" applyFont="1" applyBorder="1" applyAlignment="1">
      <alignment horizontal="right"/>
    </xf>
    <xf numFmtId="0" fontId="52" fillId="0" borderId="0" xfId="0" applyFont="1" applyBorder="1" applyAlignment="1">
      <alignment horizontal="left"/>
    </xf>
    <xf numFmtId="0" fontId="52" fillId="8" borderId="9" xfId="0" applyFont="1" applyFill="1" applyBorder="1"/>
    <xf numFmtId="164" fontId="52" fillId="8" borderId="9" xfId="0" applyNumberFormat="1" applyFont="1" applyFill="1" applyBorder="1"/>
    <xf numFmtId="1" fontId="52" fillId="8" borderId="9" xfId="0" applyNumberFormat="1" applyFont="1" applyFill="1" applyBorder="1"/>
    <xf numFmtId="12" fontId="52" fillId="8" borderId="9" xfId="0" applyNumberFormat="1" applyFont="1" applyFill="1" applyBorder="1" applyAlignment="1">
      <alignment horizontal="right"/>
    </xf>
    <xf numFmtId="49" fontId="52" fillId="8" borderId="9" xfId="0" applyNumberFormat="1" applyFont="1" applyFill="1" applyBorder="1" applyAlignment="1">
      <alignment horizontal="right"/>
    </xf>
    <xf numFmtId="164" fontId="35" fillId="7" borderId="36" xfId="2" applyNumberFormat="1" applyFont="1" applyFill="1" applyBorder="1" applyAlignment="1" applyProtection="1">
      <alignment horizontal="center"/>
    </xf>
    <xf numFmtId="0" fontId="39" fillId="0" borderId="0" xfId="2" applyFont="1" applyBorder="1" applyAlignment="1" applyProtection="1">
      <alignment horizontal="center"/>
      <protection locked="0"/>
    </xf>
    <xf numFmtId="0" fontId="39" fillId="0" borderId="43" xfId="2" applyFont="1" applyBorder="1"/>
    <xf numFmtId="0" fontId="39" fillId="0" borderId="44" xfId="2" applyFont="1" applyBorder="1"/>
    <xf numFmtId="0" fontId="39" fillId="0" borderId="45" xfId="2" applyFont="1" applyBorder="1"/>
    <xf numFmtId="0" fontId="39" fillId="0" borderId="46" xfId="2" applyFont="1" applyBorder="1"/>
    <xf numFmtId="0" fontId="39" fillId="0" borderId="47" xfId="2" applyFont="1" applyBorder="1"/>
    <xf numFmtId="0" fontId="39" fillId="0" borderId="48" xfId="2" applyFont="1" applyBorder="1"/>
    <xf numFmtId="0" fontId="39" fillId="0" borderId="49" xfId="2" applyFont="1" applyBorder="1"/>
    <xf numFmtId="0" fontId="39" fillId="0" borderId="50" xfId="2" applyFont="1" applyBorder="1"/>
    <xf numFmtId="0" fontId="39" fillId="0" borderId="51" xfId="2" applyFont="1" applyBorder="1"/>
    <xf numFmtId="0" fontId="23" fillId="0" borderId="0" xfId="2" applyFont="1" applyBorder="1"/>
    <xf numFmtId="0" fontId="2" fillId="8" borderId="2" xfId="1" applyFont="1" applyFill="1" applyBorder="1" applyAlignment="1">
      <alignment horizontal="right"/>
    </xf>
    <xf numFmtId="0" fontId="2" fillId="8" borderId="7" xfId="1" applyFont="1" applyFill="1" applyBorder="1" applyAlignment="1">
      <alignment horizontal="right"/>
    </xf>
    <xf numFmtId="164" fontId="38" fillId="7" borderId="36" xfId="1" applyNumberFormat="1" applyFont="1" applyFill="1" applyBorder="1" applyAlignment="1">
      <alignment horizontal="center" vertical="center"/>
    </xf>
    <xf numFmtId="164" fontId="35" fillId="7" borderId="9" xfId="1" applyNumberFormat="1" applyFont="1" applyFill="1" applyBorder="1" applyAlignment="1" applyProtection="1">
      <alignment horizontal="center"/>
      <protection locked="0"/>
    </xf>
    <xf numFmtId="0" fontId="2" fillId="8" borderId="7" xfId="1" applyFont="1" applyFill="1" applyBorder="1" applyAlignment="1">
      <alignment horizontal="right" vertical="center"/>
    </xf>
    <xf numFmtId="0" fontId="2" fillId="8" borderId="2" xfId="1" applyFont="1" applyFill="1" applyBorder="1" applyAlignment="1">
      <alignment vertical="center"/>
    </xf>
    <xf numFmtId="0" fontId="3" fillId="0" borderId="0" xfId="1" applyFont="1" applyAlignment="1">
      <alignment horizontal="left" indent="1"/>
    </xf>
    <xf numFmtId="1" fontId="35" fillId="7" borderId="36" xfId="1" applyNumberFormat="1" applyFont="1" applyFill="1" applyBorder="1" applyAlignment="1">
      <alignment horizontal="left" indent="3"/>
    </xf>
    <xf numFmtId="1" fontId="38" fillId="0" borderId="27" xfId="1" applyNumberFormat="1" applyFont="1" applyBorder="1" applyAlignment="1">
      <alignment horizontal="center"/>
    </xf>
    <xf numFmtId="2" fontId="38" fillId="8" borderId="36" xfId="1" applyNumberFormat="1" applyFont="1" applyFill="1" applyBorder="1" applyAlignment="1" applyProtection="1">
      <alignment horizontal="center"/>
    </xf>
    <xf numFmtId="0" fontId="35" fillId="6" borderId="2" xfId="1" applyFont="1" applyFill="1" applyBorder="1" applyProtection="1">
      <protection locked="0"/>
    </xf>
    <xf numFmtId="0" fontId="51" fillId="8" borderId="7" xfId="1" applyFont="1" applyFill="1" applyBorder="1" applyAlignment="1">
      <alignment horizontal="center" vertical="center"/>
    </xf>
    <xf numFmtId="0" fontId="51" fillId="8" borderId="2" xfId="1" applyFont="1" applyFill="1" applyBorder="1" applyAlignment="1">
      <alignment horizontal="center" vertical="center"/>
    </xf>
    <xf numFmtId="0" fontId="2" fillId="8" borderId="2" xfId="1" applyFont="1" applyFill="1" applyBorder="1" applyAlignment="1">
      <alignment horizontal="right"/>
    </xf>
    <xf numFmtId="0" fontId="2" fillId="8" borderId="7" xfId="1" applyFont="1" applyFill="1" applyBorder="1" applyAlignment="1">
      <alignment horizontal="right"/>
    </xf>
    <xf numFmtId="0" fontId="52" fillId="0" borderId="0" xfId="0" applyFont="1"/>
    <xf numFmtId="0" fontId="2" fillId="8" borderId="7" xfId="2" applyFont="1" applyFill="1" applyBorder="1" applyAlignment="1">
      <alignment horizontal="right"/>
    </xf>
    <xf numFmtId="0" fontId="35" fillId="8" borderId="6" xfId="2" applyFont="1" applyFill="1" applyBorder="1"/>
    <xf numFmtId="0" fontId="2" fillId="8" borderId="2" xfId="2" applyFont="1" applyFill="1" applyBorder="1" applyAlignment="1">
      <alignment horizontal="right"/>
    </xf>
    <xf numFmtId="0" fontId="2" fillId="8" borderId="2" xfId="1" applyFont="1" applyFill="1" applyBorder="1" applyAlignment="1">
      <alignment horizontal="right" vertical="center"/>
    </xf>
    <xf numFmtId="0" fontId="10" fillId="8" borderId="7" xfId="1" applyFont="1" applyFill="1" applyBorder="1"/>
    <xf numFmtId="0" fontId="10" fillId="8" borderId="6" xfId="1" applyFont="1" applyFill="1" applyBorder="1"/>
    <xf numFmtId="0" fontId="10" fillId="8" borderId="2" xfId="1" applyFont="1" applyFill="1" applyBorder="1"/>
    <xf numFmtId="0" fontId="10" fillId="8" borderId="1" xfId="1" applyFont="1" applyFill="1" applyBorder="1"/>
    <xf numFmtId="0" fontId="56" fillId="8" borderId="7" xfId="0" applyFont="1" applyFill="1" applyBorder="1" applyAlignment="1">
      <alignment horizontal="center" vertical="center"/>
    </xf>
    <xf numFmtId="0" fontId="56" fillId="8" borderId="2" xfId="0" applyFont="1" applyFill="1" applyBorder="1" applyAlignment="1">
      <alignment horizontal="center" vertical="center"/>
    </xf>
    <xf numFmtId="0" fontId="38" fillId="8" borderId="12" xfId="1" applyFont="1" applyFill="1" applyBorder="1" applyAlignment="1">
      <alignment horizontal="center"/>
    </xf>
    <xf numFmtId="12" fontId="38" fillId="8" borderId="12" xfId="1" applyNumberFormat="1" applyFont="1" applyFill="1" applyBorder="1" applyAlignment="1">
      <alignment horizontal="center"/>
    </xf>
    <xf numFmtId="0" fontId="52" fillId="0" borderId="0" xfId="0" applyFont="1" applyAlignment="1">
      <alignment horizontal="right"/>
    </xf>
    <xf numFmtId="0" fontId="38" fillId="8" borderId="13" xfId="2" applyFont="1" applyFill="1" applyBorder="1"/>
    <xf numFmtId="1" fontId="52" fillId="8" borderId="9" xfId="0" applyNumberFormat="1" applyFont="1" applyFill="1" applyBorder="1" applyAlignment="1">
      <alignment horizontal="right"/>
    </xf>
    <xf numFmtId="0" fontId="35" fillId="0" borderId="0" xfId="1" applyFont="1" applyAlignment="1">
      <alignment horizontal="left"/>
    </xf>
    <xf numFmtId="0" fontId="35" fillId="0" borderId="0" xfId="2" applyFont="1" applyAlignment="1" applyProtection="1">
      <alignment horizontal="right"/>
    </xf>
    <xf numFmtId="0" fontId="35" fillId="0" borderId="0" xfId="2" applyFont="1" applyBorder="1" applyAlignment="1" applyProtection="1">
      <alignment horizontal="right"/>
    </xf>
    <xf numFmtId="0" fontId="35" fillId="0" borderId="0" xfId="2" applyFont="1" applyBorder="1" applyAlignment="1" applyProtection="1">
      <alignment horizontal="center"/>
    </xf>
    <xf numFmtId="0" fontId="35" fillId="0" borderId="0" xfId="2" applyFont="1" applyAlignment="1" applyProtection="1">
      <alignment horizontal="center"/>
    </xf>
    <xf numFmtId="0" fontId="42" fillId="0" borderId="29" xfId="0" applyFont="1" applyBorder="1"/>
    <xf numFmtId="0" fontId="35" fillId="0" borderId="0" xfId="1" applyFont="1" applyAlignment="1">
      <alignment horizontal="left"/>
    </xf>
    <xf numFmtId="0" fontId="2" fillId="0" borderId="0" xfId="1" applyFont="1" applyAlignment="1">
      <alignment horizontal="right"/>
    </xf>
    <xf numFmtId="0" fontId="52" fillId="0" borderId="4" xfId="0" applyFont="1" applyBorder="1"/>
    <xf numFmtId="0" fontId="35" fillId="6" borderId="9" xfId="2" applyFont="1" applyFill="1" applyBorder="1" applyAlignment="1" applyProtection="1">
      <protection locked="0"/>
    </xf>
    <xf numFmtId="0" fontId="35" fillId="0" borderId="5" xfId="2" applyFont="1" applyBorder="1" applyProtection="1"/>
    <xf numFmtId="0" fontId="42" fillId="0" borderId="0" xfId="0" applyFont="1" applyBorder="1" applyAlignment="1" applyProtection="1"/>
    <xf numFmtId="0" fontId="38" fillId="0" borderId="0" xfId="2" applyFont="1" applyBorder="1" applyAlignment="1" applyProtection="1">
      <alignment horizontal="right" vertical="center"/>
    </xf>
    <xf numFmtId="0" fontId="39" fillId="0" borderId="14" xfId="2" applyFont="1" applyBorder="1" applyAlignment="1"/>
    <xf numFmtId="0" fontId="39" fillId="0" borderId="13" xfId="2" applyFont="1" applyBorder="1" applyAlignment="1"/>
    <xf numFmtId="0" fontId="39" fillId="0" borderId="12" xfId="2" applyFont="1" applyBorder="1" applyAlignment="1"/>
    <xf numFmtId="0" fontId="52" fillId="0" borderId="2" xfId="0" applyFont="1" applyBorder="1"/>
    <xf numFmtId="0" fontId="52" fillId="0" borderId="8" xfId="0" applyFont="1" applyBorder="1"/>
    <xf numFmtId="0" fontId="52" fillId="0" borderId="7" xfId="0" applyFont="1" applyBorder="1"/>
    <xf numFmtId="0" fontId="52" fillId="0" borderId="6" xfId="0" applyFont="1" applyBorder="1"/>
    <xf numFmtId="0" fontId="52" fillId="0" borderId="5" xfId="0" applyFont="1" applyBorder="1"/>
    <xf numFmtId="0" fontId="52" fillId="0" borderId="0" xfId="0" applyFont="1" applyBorder="1"/>
    <xf numFmtId="0" fontId="52" fillId="0" borderId="3" xfId="0" applyFont="1" applyBorder="1"/>
    <xf numFmtId="0" fontId="52" fillId="0" borderId="1" xfId="0" applyFont="1" applyBorder="1"/>
    <xf numFmtId="171" fontId="38" fillId="8" borderId="12" xfId="1" applyNumberFormat="1" applyFont="1" applyFill="1" applyBorder="1" applyAlignment="1">
      <alignment horizontal="center"/>
    </xf>
    <xf numFmtId="0" fontId="38" fillId="6" borderId="0" xfId="1" applyFont="1" applyFill="1"/>
    <xf numFmtId="0" fontId="38" fillId="6" borderId="0" xfId="1" applyFont="1" applyFill="1" applyAlignment="1">
      <alignment horizontal="center"/>
    </xf>
    <xf numFmtId="0" fontId="34" fillId="0" borderId="2" xfId="57" applyFont="1" applyBorder="1" applyAlignment="1">
      <alignment horizontal="center" wrapText="1"/>
    </xf>
    <xf numFmtId="0" fontId="32" fillId="0" borderId="8" xfId="57" applyFont="1" applyBorder="1" applyAlignment="1">
      <alignment wrapText="1"/>
    </xf>
    <xf numFmtId="0" fontId="2" fillId="0" borderId="7" xfId="57" applyFont="1" applyBorder="1" applyAlignment="1">
      <alignment wrapText="1"/>
    </xf>
    <xf numFmtId="0" fontId="2" fillId="0" borderId="6" xfId="57" applyFont="1" applyBorder="1" applyAlignment="1">
      <alignment wrapText="1"/>
    </xf>
    <xf numFmtId="0" fontId="32" fillId="0" borderId="5" xfId="57" applyFont="1" applyBorder="1" applyAlignment="1"/>
    <xf numFmtId="0" fontId="2" fillId="0" borderId="0" xfId="57" applyFont="1" applyBorder="1" applyAlignment="1"/>
    <xf numFmtId="0" fontId="2" fillId="0" borderId="4" xfId="57" applyFont="1" applyBorder="1" applyAlignment="1"/>
    <xf numFmtId="0" fontId="32" fillId="0" borderId="5" xfId="58" applyFont="1" applyBorder="1" applyAlignment="1" applyProtection="1">
      <alignment wrapText="1"/>
    </xf>
    <xf numFmtId="0" fontId="2" fillId="0" borderId="0" xfId="57" applyFont="1" applyBorder="1" applyAlignment="1">
      <alignment wrapText="1"/>
    </xf>
    <xf numFmtId="0" fontId="2" fillId="0" borderId="4" xfId="57" applyFont="1" applyBorder="1" applyAlignment="1">
      <alignment wrapText="1"/>
    </xf>
    <xf numFmtId="0" fontId="32" fillId="0" borderId="5" xfId="57" applyFont="1" applyBorder="1" applyAlignment="1">
      <alignment horizontal="left" wrapText="1"/>
    </xf>
    <xf numFmtId="0" fontId="2" fillId="0" borderId="0" xfId="57" applyBorder="1" applyAlignment="1">
      <alignment wrapText="1"/>
    </xf>
    <xf numFmtId="0" fontId="2" fillId="0" borderId="4" xfId="57" applyBorder="1" applyAlignment="1">
      <alignment wrapText="1"/>
    </xf>
    <xf numFmtId="0" fontId="32" fillId="8" borderId="14" xfId="57" applyFont="1" applyFill="1" applyBorder="1" applyAlignment="1"/>
    <xf numFmtId="0" fontId="2" fillId="8" borderId="13" xfId="57" applyFont="1" applyFill="1" applyBorder="1" applyAlignment="1"/>
    <xf numFmtId="0" fontId="2" fillId="8" borderId="12" xfId="57" applyFont="1" applyFill="1" applyBorder="1" applyAlignment="1"/>
    <xf numFmtId="0" fontId="32" fillId="0" borderId="5" xfId="57" applyFont="1" applyBorder="1" applyAlignment="1">
      <alignment vertical="center" wrapText="1"/>
    </xf>
    <xf numFmtId="0" fontId="2" fillId="0" borderId="0" xfId="57" applyFont="1" applyBorder="1" applyAlignment="1">
      <alignment vertical="center" wrapText="1"/>
    </xf>
    <xf numFmtId="0" fontId="2" fillId="0" borderId="4" xfId="57" applyFont="1" applyBorder="1" applyAlignment="1">
      <alignment vertical="center" wrapText="1"/>
    </xf>
    <xf numFmtId="0" fontId="32" fillId="0" borderId="5" xfId="57" applyFont="1" applyBorder="1" applyAlignment="1">
      <alignment wrapText="1"/>
    </xf>
    <xf numFmtId="0" fontId="32" fillId="8" borderId="14" xfId="57" applyFont="1" applyFill="1" applyBorder="1" applyAlignment="1">
      <alignment horizontal="left"/>
    </xf>
    <xf numFmtId="0" fontId="32" fillId="8" borderId="13" xfId="57" applyFont="1" applyFill="1" applyBorder="1" applyAlignment="1">
      <alignment horizontal="left"/>
    </xf>
    <xf numFmtId="0" fontId="32" fillId="8" borderId="12" xfId="57" applyFont="1" applyFill="1" applyBorder="1" applyAlignment="1">
      <alignment horizontal="left"/>
    </xf>
    <xf numFmtId="0" fontId="32" fillId="0" borderId="8" xfId="57" applyFont="1" applyBorder="1" applyAlignment="1">
      <alignment horizontal="left" wrapText="1"/>
    </xf>
    <xf numFmtId="0" fontId="32" fillId="0" borderId="7" xfId="57" applyFont="1" applyBorder="1" applyAlignment="1">
      <alignment horizontal="left" wrapText="1"/>
    </xf>
    <xf numFmtId="0" fontId="32" fillId="0" borderId="6" xfId="57" applyFont="1" applyBorder="1" applyAlignment="1">
      <alignment horizontal="left" wrapText="1"/>
    </xf>
    <xf numFmtId="0" fontId="32" fillId="0" borderId="3" xfId="57" applyFont="1" applyBorder="1" applyAlignment="1">
      <alignment wrapText="1"/>
    </xf>
    <xf numFmtId="0" fontId="2" fillId="0" borderId="2" xfId="57" applyFont="1" applyBorder="1" applyAlignment="1">
      <alignment wrapText="1"/>
    </xf>
    <xf numFmtId="0" fontId="2" fillId="0" borderId="1" xfId="57" applyFont="1" applyBorder="1" applyAlignment="1">
      <alignment wrapText="1"/>
    </xf>
    <xf numFmtId="0" fontId="32" fillId="0" borderId="3" xfId="57" applyFont="1" applyBorder="1" applyAlignment="1"/>
    <xf numFmtId="0" fontId="32" fillId="0" borderId="2" xfId="57" applyFont="1" applyBorder="1" applyAlignment="1"/>
    <xf numFmtId="0" fontId="32" fillId="0" borderId="1" xfId="57" applyFont="1" applyBorder="1" applyAlignment="1"/>
    <xf numFmtId="0" fontId="35" fillId="0" borderId="0" xfId="2" applyFont="1" applyAlignment="1" applyProtection="1">
      <alignment horizontal="center"/>
    </xf>
    <xf numFmtId="0" fontId="35" fillId="0" borderId="4" xfId="2" applyFont="1" applyBorder="1" applyAlignment="1" applyProtection="1">
      <alignment horizontal="center"/>
    </xf>
    <xf numFmtId="0" fontId="35" fillId="0" borderId="0" xfId="2" applyFont="1" applyAlignment="1" applyProtection="1">
      <alignment horizontal="right"/>
    </xf>
    <xf numFmtId="0" fontId="35" fillId="0" borderId="0" xfId="2" applyFont="1" applyBorder="1" applyAlignment="1" applyProtection="1">
      <alignment horizontal="right"/>
    </xf>
    <xf numFmtId="0" fontId="35" fillId="0" borderId="0" xfId="2" applyFont="1" applyBorder="1" applyAlignment="1" applyProtection="1">
      <alignment horizontal="center"/>
    </xf>
    <xf numFmtId="0" fontId="42" fillId="0" borderId="0" xfId="0" applyFont="1" applyBorder="1"/>
    <xf numFmtId="0" fontId="41" fillId="0" borderId="0" xfId="2" applyFont="1" applyBorder="1" applyAlignment="1" applyProtection="1">
      <alignment horizontal="right"/>
    </xf>
    <xf numFmtId="0" fontId="35" fillId="0" borderId="0" xfId="1" applyFont="1" applyAlignment="1" applyProtection="1">
      <alignment horizontal="right"/>
    </xf>
    <xf numFmtId="0" fontId="55" fillId="8" borderId="13" xfId="2" applyFont="1" applyFill="1" applyBorder="1" applyAlignment="1" applyProtection="1">
      <alignment horizontal="center"/>
    </xf>
    <xf numFmtId="1" fontId="35" fillId="6" borderId="14" xfId="2" applyNumberFormat="1" applyFont="1" applyFill="1" applyBorder="1" applyAlignment="1" applyProtection="1">
      <alignment horizontal="center"/>
      <protection locked="0"/>
    </xf>
    <xf numFmtId="1" fontId="35" fillId="6" borderId="12" xfId="2" applyNumberFormat="1" applyFont="1" applyFill="1" applyBorder="1" applyAlignment="1" applyProtection="1">
      <alignment horizontal="center"/>
      <protection locked="0"/>
    </xf>
    <xf numFmtId="0" fontId="35" fillId="0" borderId="5" xfId="2" applyFont="1" applyBorder="1" applyAlignment="1" applyProtection="1">
      <alignment horizontal="left"/>
    </xf>
    <xf numFmtId="0" fontId="35" fillId="0" borderId="0" xfId="2" applyFont="1" applyBorder="1" applyAlignment="1" applyProtection="1">
      <alignment horizontal="left"/>
    </xf>
    <xf numFmtId="49" fontId="13" fillId="6" borderId="14" xfId="2" applyNumberFormat="1" applyFont="1" applyFill="1" applyBorder="1" applyAlignment="1" applyProtection="1">
      <alignment horizontal="center"/>
      <protection locked="0"/>
    </xf>
    <xf numFmtId="49" fontId="13" fillId="6" borderId="13" xfId="2" applyNumberFormat="1" applyFont="1" applyFill="1" applyBorder="1" applyAlignment="1" applyProtection="1">
      <alignment horizontal="center"/>
      <protection locked="0"/>
    </xf>
    <xf numFmtId="49" fontId="13" fillId="6" borderId="12" xfId="2" applyNumberFormat="1" applyFont="1" applyFill="1" applyBorder="1" applyAlignment="1" applyProtection="1">
      <alignment horizontal="center"/>
      <protection locked="0"/>
    </xf>
    <xf numFmtId="0" fontId="35" fillId="0" borderId="4" xfId="2" applyFont="1" applyBorder="1" applyAlignment="1" applyProtection="1">
      <alignment horizontal="right"/>
    </xf>
    <xf numFmtId="0" fontId="13" fillId="8" borderId="14" xfId="2" applyFont="1" applyFill="1" applyBorder="1" applyAlignment="1" applyProtection="1">
      <alignment horizontal="right"/>
    </xf>
    <xf numFmtId="0" fontId="13" fillId="8" borderId="13" xfId="2" applyFont="1" applyFill="1" applyBorder="1" applyAlignment="1" applyProtection="1">
      <alignment horizontal="right"/>
    </xf>
    <xf numFmtId="0" fontId="35" fillId="0" borderId="5" xfId="2" applyFont="1" applyBorder="1" applyAlignment="1" applyProtection="1">
      <alignment horizontal="center"/>
    </xf>
    <xf numFmtId="0" fontId="35" fillId="6" borderId="14" xfId="2" applyFont="1" applyFill="1" applyBorder="1" applyAlignment="1" applyProtection="1">
      <alignment horizontal="center"/>
      <protection locked="0"/>
    </xf>
    <xf numFmtId="0" fontId="35" fillId="6" borderId="13" xfId="2" applyFont="1" applyFill="1" applyBorder="1" applyAlignment="1" applyProtection="1">
      <alignment horizontal="center"/>
      <protection locked="0"/>
    </xf>
    <xf numFmtId="0" fontId="35" fillId="6" borderId="12" xfId="2" applyFont="1" applyFill="1" applyBorder="1" applyAlignment="1" applyProtection="1">
      <alignment horizontal="center"/>
      <protection locked="0"/>
    </xf>
    <xf numFmtId="0" fontId="13" fillId="8" borderId="14" xfId="2" applyFont="1" applyFill="1" applyBorder="1" applyAlignment="1" applyProtection="1">
      <alignment horizontal="center"/>
    </xf>
    <xf numFmtId="0" fontId="13" fillId="8" borderId="13" xfId="2" applyFont="1" applyFill="1" applyBorder="1" applyAlignment="1" applyProtection="1">
      <alignment horizontal="center"/>
    </xf>
    <xf numFmtId="0" fontId="41" fillId="0" borderId="0" xfId="2" applyFont="1" applyAlignment="1" applyProtection="1">
      <alignment horizontal="right"/>
    </xf>
    <xf numFmtId="0" fontId="35" fillId="6" borderId="14" xfId="2" applyFont="1" applyFill="1" applyBorder="1" applyAlignment="1" applyProtection="1">
      <alignment horizontal="center"/>
    </xf>
    <xf numFmtId="0" fontId="35" fillId="6" borderId="13" xfId="2" applyFont="1" applyFill="1" applyBorder="1" applyAlignment="1" applyProtection="1">
      <alignment horizontal="center"/>
    </xf>
    <xf numFmtId="0" fontId="35" fillId="6" borderId="12" xfId="2" applyFont="1" applyFill="1" applyBorder="1" applyAlignment="1" applyProtection="1">
      <alignment horizontal="center"/>
    </xf>
    <xf numFmtId="0" fontId="38" fillId="0" borderId="0" xfId="2" applyFont="1" applyAlignment="1" applyProtection="1">
      <alignment horizontal="center" vertical="center"/>
    </xf>
    <xf numFmtId="168" fontId="13" fillId="6" borderId="14" xfId="2" applyNumberFormat="1" applyFont="1" applyFill="1" applyBorder="1" applyAlignment="1" applyProtection="1">
      <alignment horizontal="center"/>
      <protection locked="0"/>
    </xf>
    <xf numFmtId="168" fontId="13" fillId="6" borderId="13" xfId="2" applyNumberFormat="1" applyFont="1" applyFill="1" applyBorder="1" applyAlignment="1" applyProtection="1">
      <alignment horizontal="center"/>
      <protection locked="0"/>
    </xf>
    <xf numFmtId="168" fontId="13" fillId="6" borderId="12" xfId="2" applyNumberFormat="1" applyFont="1" applyFill="1" applyBorder="1" applyAlignment="1" applyProtection="1">
      <alignment horizontal="center"/>
      <protection locked="0"/>
    </xf>
    <xf numFmtId="14" fontId="35" fillId="6" borderId="14" xfId="2" applyNumberFormat="1" applyFont="1" applyFill="1" applyBorder="1" applyAlignment="1" applyProtection="1">
      <alignment horizontal="center"/>
      <protection locked="0"/>
    </xf>
    <xf numFmtId="14" fontId="35" fillId="6" borderId="12" xfId="2" applyNumberFormat="1" applyFont="1" applyFill="1" applyBorder="1" applyAlignment="1" applyProtection="1">
      <alignment horizontal="center"/>
      <protection locked="0"/>
    </xf>
    <xf numFmtId="0" fontId="35" fillId="6" borderId="14" xfId="2" applyNumberFormat="1" applyFont="1" applyFill="1" applyBorder="1" applyAlignment="1" applyProtection="1">
      <alignment horizontal="center"/>
      <protection locked="0"/>
    </xf>
    <xf numFmtId="0" fontId="35" fillId="6" borderId="13" xfId="2" applyNumberFormat="1" applyFont="1" applyFill="1" applyBorder="1" applyAlignment="1" applyProtection="1">
      <alignment horizontal="center"/>
      <protection locked="0"/>
    </xf>
    <xf numFmtId="0" fontId="35" fillId="6" borderId="12" xfId="2" applyNumberFormat="1" applyFont="1" applyFill="1" applyBorder="1" applyAlignment="1" applyProtection="1">
      <alignment horizontal="center"/>
      <protection locked="0"/>
    </xf>
    <xf numFmtId="0" fontId="19" fillId="6" borderId="8" xfId="2" applyFont="1" applyFill="1" applyBorder="1" applyAlignment="1" applyProtection="1">
      <alignment horizontal="center"/>
    </xf>
    <xf numFmtId="0" fontId="19" fillId="6" borderId="6" xfId="2" applyFont="1" applyFill="1" applyBorder="1" applyAlignment="1" applyProtection="1">
      <alignment horizontal="center"/>
    </xf>
    <xf numFmtId="0" fontId="19" fillId="6" borderId="3" xfId="2" applyFont="1" applyFill="1" applyBorder="1" applyAlignment="1" applyProtection="1">
      <alignment horizontal="center"/>
    </xf>
    <xf numFmtId="0" fontId="19" fillId="6" borderId="1" xfId="2" applyFont="1" applyFill="1" applyBorder="1" applyAlignment="1" applyProtection="1">
      <alignment horizontal="center"/>
    </xf>
    <xf numFmtId="0" fontId="51" fillId="8" borderId="8" xfId="2" applyFont="1" applyFill="1" applyBorder="1" applyAlignment="1">
      <alignment horizontal="center" vertical="center"/>
    </xf>
    <xf numFmtId="0" fontId="51" fillId="8" borderId="7" xfId="2" applyFont="1" applyFill="1" applyBorder="1" applyAlignment="1">
      <alignment horizontal="center" vertical="center"/>
    </xf>
    <xf numFmtId="0" fontId="51" fillId="8" borderId="3" xfId="2" applyFont="1" applyFill="1" applyBorder="1" applyAlignment="1">
      <alignment horizontal="center" vertical="center"/>
    </xf>
    <xf numFmtId="0" fontId="51" fillId="8" borderId="2" xfId="2" applyFont="1" applyFill="1" applyBorder="1" applyAlignment="1">
      <alignment horizontal="center" vertical="center"/>
    </xf>
    <xf numFmtId="0" fontId="10" fillId="8" borderId="2" xfId="2" applyFont="1" applyFill="1" applyBorder="1" applyAlignment="1">
      <alignment horizontal="center" vertical="center"/>
    </xf>
    <xf numFmtId="0" fontId="10" fillId="8" borderId="1" xfId="2" applyFont="1" applyFill="1" applyBorder="1" applyAlignment="1">
      <alignment horizontal="center" vertical="center"/>
    </xf>
    <xf numFmtId="0" fontId="35" fillId="0" borderId="9" xfId="2" applyFont="1" applyBorder="1" applyAlignment="1" applyProtection="1">
      <alignment horizontal="center"/>
      <protection locked="0"/>
    </xf>
    <xf numFmtId="0" fontId="35" fillId="0" borderId="14" xfId="2" applyFont="1" applyBorder="1" applyAlignment="1">
      <alignment horizontal="center" vertical="center"/>
    </xf>
    <xf numFmtId="0" fontId="35" fillId="0" borderId="13" xfId="2" applyFont="1" applyBorder="1" applyAlignment="1">
      <alignment horizontal="center" vertical="center"/>
    </xf>
    <xf numFmtId="0" fontId="35" fillId="0" borderId="12" xfId="2" applyFont="1" applyBorder="1" applyAlignment="1">
      <alignment horizontal="center" vertical="center"/>
    </xf>
    <xf numFmtId="0" fontId="35" fillId="8" borderId="13" xfId="2" applyFont="1" applyFill="1" applyBorder="1" applyAlignment="1">
      <alignment horizontal="center"/>
    </xf>
    <xf numFmtId="0" fontId="35" fillId="8" borderId="12" xfId="2" applyFont="1" applyFill="1" applyBorder="1" applyAlignment="1">
      <alignment horizontal="center"/>
    </xf>
    <xf numFmtId="0" fontId="35" fillId="6" borderId="14" xfId="2" applyFont="1" applyFill="1" applyBorder="1" applyAlignment="1" applyProtection="1">
      <alignment horizontal="center" vertical="center"/>
      <protection locked="0"/>
    </xf>
    <xf numFmtId="0" fontId="35" fillId="6" borderId="12" xfId="2" applyFont="1" applyFill="1" applyBorder="1" applyAlignment="1" applyProtection="1">
      <alignment horizontal="center" vertical="center"/>
      <protection locked="0"/>
    </xf>
    <xf numFmtId="0" fontId="10" fillId="8" borderId="7" xfId="2" applyFont="1" applyFill="1" applyBorder="1" applyAlignment="1">
      <alignment horizontal="center"/>
    </xf>
    <xf numFmtId="0" fontId="39" fillId="0" borderId="13" xfId="2" applyFont="1" applyBorder="1" applyAlignment="1">
      <alignment horizontal="left"/>
    </xf>
    <xf numFmtId="0" fontId="39" fillId="0" borderId="12" xfId="2" applyFont="1" applyBorder="1" applyAlignment="1">
      <alignment horizontal="left"/>
    </xf>
    <xf numFmtId="0" fontId="39" fillId="0" borderId="2" xfId="2" applyFont="1" applyBorder="1" applyAlignment="1">
      <alignment horizontal="center"/>
    </xf>
    <xf numFmtId="0" fontId="61" fillId="8" borderId="13" xfId="2" applyFont="1" applyFill="1" applyBorder="1" applyAlignment="1">
      <alignment horizontal="center"/>
    </xf>
    <xf numFmtId="0" fontId="51" fillId="8" borderId="14" xfId="2" applyFont="1" applyFill="1" applyBorder="1" applyAlignment="1">
      <alignment horizontal="center"/>
    </xf>
    <xf numFmtId="0" fontId="51" fillId="8" borderId="13" xfId="2" applyFont="1" applyFill="1" applyBorder="1" applyAlignment="1">
      <alignment horizontal="center"/>
    </xf>
    <xf numFmtId="0" fontId="51" fillId="8" borderId="12" xfId="2" applyFont="1" applyFill="1" applyBorder="1" applyAlignment="1">
      <alignment horizontal="center"/>
    </xf>
    <xf numFmtId="0" fontId="39" fillId="0" borderId="2" xfId="2" applyFont="1" applyBorder="1" applyAlignment="1" applyProtection="1">
      <protection locked="0"/>
    </xf>
    <xf numFmtId="0" fontId="39" fillId="0" borderId="0" xfId="2" applyFont="1" applyBorder="1" applyAlignment="1">
      <alignment horizontal="center"/>
    </xf>
    <xf numFmtId="0" fontId="61" fillId="8" borderId="12" xfId="2" applyFont="1" applyFill="1" applyBorder="1" applyAlignment="1">
      <alignment horizontal="center"/>
    </xf>
    <xf numFmtId="0" fontId="39" fillId="0" borderId="2" xfId="2" applyFont="1" applyBorder="1" applyAlignment="1" applyProtection="1">
      <alignment horizontal="center"/>
      <protection locked="0"/>
    </xf>
    <xf numFmtId="0" fontId="46" fillId="0" borderId="0" xfId="2" applyFont="1" applyBorder="1" applyAlignment="1" applyProtection="1">
      <protection locked="0"/>
    </xf>
    <xf numFmtId="0" fontId="39" fillId="0" borderId="0" xfId="2" applyFont="1" applyBorder="1" applyAlignment="1" applyProtection="1">
      <protection locked="0"/>
    </xf>
    <xf numFmtId="0" fontId="55" fillId="8" borderId="8" xfId="1" applyFont="1" applyFill="1" applyBorder="1" applyAlignment="1">
      <alignment horizontal="center" vertical="center"/>
    </xf>
    <xf numFmtId="0" fontId="55" fillId="8" borderId="7" xfId="1" applyFont="1" applyFill="1" applyBorder="1" applyAlignment="1">
      <alignment horizontal="center" vertical="center"/>
    </xf>
    <xf numFmtId="0" fontId="55" fillId="8" borderId="3" xfId="1" applyFont="1" applyFill="1" applyBorder="1" applyAlignment="1">
      <alignment horizontal="center" vertical="center"/>
    </xf>
    <xf numFmtId="0" fontId="55" fillId="8" borderId="2" xfId="1" applyFont="1" applyFill="1" applyBorder="1" applyAlignment="1">
      <alignment horizontal="center" vertical="center"/>
    </xf>
    <xf numFmtId="0" fontId="10" fillId="8" borderId="2" xfId="1" applyFont="1" applyFill="1" applyBorder="1" applyAlignment="1">
      <alignment horizontal="center"/>
    </xf>
    <xf numFmtId="0" fontId="10" fillId="8" borderId="1" xfId="1" applyFont="1" applyFill="1" applyBorder="1" applyAlignment="1">
      <alignment horizontal="center"/>
    </xf>
    <xf numFmtId="0" fontId="10" fillId="8" borderId="7" xfId="1" applyFont="1" applyFill="1" applyBorder="1" applyAlignment="1">
      <alignment horizontal="center"/>
    </xf>
    <xf numFmtId="0" fontId="10" fillId="8" borderId="6" xfId="1" applyFont="1" applyFill="1" applyBorder="1" applyAlignment="1">
      <alignment horizontal="center"/>
    </xf>
    <xf numFmtId="0" fontId="35" fillId="7" borderId="14" xfId="1" applyNumberFormat="1" applyFont="1" applyFill="1" applyBorder="1" applyAlignment="1">
      <alignment horizontal="center"/>
    </xf>
    <xf numFmtId="0" fontId="35" fillId="7" borderId="13" xfId="1" applyNumberFormat="1" applyFont="1" applyFill="1" applyBorder="1" applyAlignment="1">
      <alignment horizontal="center"/>
    </xf>
    <xf numFmtId="0" fontId="35" fillId="7" borderId="12" xfId="1" applyNumberFormat="1" applyFont="1" applyFill="1" applyBorder="1" applyAlignment="1">
      <alignment horizontal="center"/>
    </xf>
    <xf numFmtId="0" fontId="35" fillId="7" borderId="14" xfId="1" applyFont="1" applyFill="1" applyBorder="1" applyAlignment="1">
      <alignment horizontal="center"/>
    </xf>
    <xf numFmtId="0" fontId="35" fillId="7" borderId="13" xfId="1" applyFont="1" applyFill="1" applyBorder="1" applyAlignment="1">
      <alignment horizontal="center"/>
    </xf>
    <xf numFmtId="0" fontId="35" fillId="7" borderId="12" xfId="1" applyFont="1" applyFill="1" applyBorder="1" applyAlignment="1">
      <alignment horizontal="center"/>
    </xf>
    <xf numFmtId="0" fontId="35" fillId="6" borderId="14" xfId="1" applyFont="1" applyFill="1" applyBorder="1" applyAlignment="1" applyProtection="1">
      <alignment horizontal="center"/>
      <protection locked="0"/>
    </xf>
    <xf numFmtId="0" fontId="35" fillId="6" borderId="13" xfId="1" applyFont="1" applyFill="1" applyBorder="1" applyAlignment="1" applyProtection="1">
      <alignment horizontal="center"/>
      <protection locked="0"/>
    </xf>
    <xf numFmtId="0" fontId="35" fillId="6" borderId="12" xfId="1" applyFont="1" applyFill="1" applyBorder="1" applyAlignment="1" applyProtection="1">
      <alignment horizontal="center"/>
      <protection locked="0"/>
    </xf>
    <xf numFmtId="0" fontId="35" fillId="0" borderId="0" xfId="1" applyFont="1" applyAlignment="1">
      <alignment horizontal="left"/>
    </xf>
    <xf numFmtId="0" fontId="35" fillId="0" borderId="4" xfId="1" applyFont="1" applyBorder="1" applyAlignment="1">
      <alignment horizontal="left"/>
    </xf>
    <xf numFmtId="0" fontId="12" fillId="0" borderId="0" xfId="1" applyFont="1" applyAlignment="1">
      <alignment horizontal="center"/>
    </xf>
    <xf numFmtId="0" fontId="12" fillId="0" borderId="4" xfId="1" applyFont="1" applyBorder="1" applyAlignment="1">
      <alignment horizontal="center"/>
    </xf>
    <xf numFmtId="0" fontId="35" fillId="0" borderId="5" xfId="1" applyFont="1" applyBorder="1" applyAlignment="1">
      <alignment horizontal="left"/>
    </xf>
    <xf numFmtId="0" fontId="0" fillId="0" borderId="4" xfId="0" applyBorder="1"/>
    <xf numFmtId="0" fontId="35" fillId="0" borderId="0" xfId="1" applyFont="1" applyAlignment="1">
      <alignment horizontal="right"/>
    </xf>
    <xf numFmtId="0" fontId="35" fillId="0" borderId="4" xfId="1" applyFont="1" applyBorder="1" applyAlignment="1">
      <alignment horizontal="right"/>
    </xf>
    <xf numFmtId="0" fontId="3" fillId="6" borderId="2" xfId="1" applyFont="1" applyFill="1" applyBorder="1" applyAlignment="1" applyProtection="1">
      <alignment horizontal="center"/>
      <protection locked="0"/>
    </xf>
    <xf numFmtId="0" fontId="35" fillId="7" borderId="17" xfId="1" applyFont="1" applyFill="1" applyBorder="1" applyAlignment="1">
      <alignment horizontal="center"/>
    </xf>
    <xf numFmtId="0" fontId="35" fillId="7" borderId="15" xfId="1" applyFont="1" applyFill="1" applyBorder="1" applyAlignment="1">
      <alignment horizontal="center"/>
    </xf>
    <xf numFmtId="0" fontId="51" fillId="8" borderId="8" xfId="1" applyFont="1" applyFill="1" applyBorder="1" applyAlignment="1">
      <alignment horizontal="center" vertical="center"/>
    </xf>
    <xf numFmtId="0" fontId="51" fillId="8" borderId="7" xfId="1" applyFont="1" applyFill="1" applyBorder="1" applyAlignment="1">
      <alignment horizontal="center" vertical="center"/>
    </xf>
    <xf numFmtId="0" fontId="51" fillId="8" borderId="3" xfId="1" applyFont="1" applyFill="1" applyBorder="1" applyAlignment="1">
      <alignment horizontal="center" vertical="center"/>
    </xf>
    <xf numFmtId="0" fontId="51" fillId="8" borderId="2" xfId="1" applyFont="1" applyFill="1" applyBorder="1" applyAlignment="1">
      <alignment horizontal="center" vertical="center"/>
    </xf>
    <xf numFmtId="0" fontId="10" fillId="8" borderId="7" xfId="1" applyFont="1" applyFill="1" applyBorder="1" applyAlignment="1">
      <alignment horizontal="center" vertical="top"/>
    </xf>
    <xf numFmtId="0" fontId="10" fillId="8" borderId="6" xfId="1" applyFont="1" applyFill="1" applyBorder="1" applyAlignment="1">
      <alignment horizontal="center" vertical="top"/>
    </xf>
    <xf numFmtId="0" fontId="38" fillId="0" borderId="0" xfId="1" applyFont="1" applyBorder="1" applyAlignment="1">
      <alignment horizontal="right"/>
    </xf>
    <xf numFmtId="0" fontId="38" fillId="0" borderId="4" xfId="1" applyFont="1" applyBorder="1" applyAlignment="1">
      <alignment horizontal="right"/>
    </xf>
    <xf numFmtId="49" fontId="45" fillId="8" borderId="8" xfId="1" applyNumberFormat="1" applyFont="1" applyFill="1" applyBorder="1" applyAlignment="1">
      <alignment horizontal="center"/>
    </xf>
    <xf numFmtId="49" fontId="45" fillId="8" borderId="7" xfId="1" applyNumberFormat="1" applyFont="1" applyFill="1" applyBorder="1" applyAlignment="1">
      <alignment horizontal="center"/>
    </xf>
    <xf numFmtId="49" fontId="45" fillId="8" borderId="3" xfId="1" applyNumberFormat="1" applyFont="1" applyFill="1" applyBorder="1" applyAlignment="1">
      <alignment horizontal="center"/>
    </xf>
    <xf numFmtId="49" fontId="45" fillId="8" borderId="2" xfId="1" applyNumberFormat="1" applyFont="1" applyFill="1" applyBorder="1" applyAlignment="1">
      <alignment horizontal="center"/>
    </xf>
    <xf numFmtId="0" fontId="38" fillId="7" borderId="16" xfId="1" applyFont="1" applyFill="1" applyBorder="1" applyAlignment="1">
      <alignment horizontal="center"/>
    </xf>
    <xf numFmtId="0" fontId="26" fillId="0" borderId="3" xfId="1" applyFont="1" applyBorder="1" applyAlignment="1" applyProtection="1">
      <alignment horizontal="left" vertical="top" wrapText="1"/>
      <protection locked="0"/>
    </xf>
    <xf numFmtId="0" fontId="26" fillId="0" borderId="2" xfId="1" applyFont="1" applyBorder="1" applyAlignment="1" applyProtection="1">
      <alignment horizontal="left" vertical="top" wrapText="1"/>
      <protection locked="0"/>
    </xf>
    <xf numFmtId="0" fontId="26" fillId="0" borderId="1" xfId="1" applyFont="1" applyBorder="1" applyAlignment="1" applyProtection="1">
      <alignment horizontal="left" vertical="top" wrapText="1"/>
      <protection locked="0"/>
    </xf>
    <xf numFmtId="0" fontId="38" fillId="0" borderId="0" xfId="1" applyFont="1" applyBorder="1" applyAlignment="1">
      <alignment horizontal="center"/>
    </xf>
    <xf numFmtId="0" fontId="38" fillId="0" borderId="4" xfId="1" applyFont="1" applyBorder="1" applyAlignment="1">
      <alignment horizontal="center"/>
    </xf>
    <xf numFmtId="0" fontId="26" fillId="0" borderId="5" xfId="1" applyFont="1" applyBorder="1" applyAlignment="1" applyProtection="1">
      <alignment horizontal="left" vertical="top" wrapText="1"/>
      <protection locked="0"/>
    </xf>
    <xf numFmtId="0" fontId="26" fillId="0" borderId="0" xfId="1" applyFont="1" applyBorder="1" applyAlignment="1" applyProtection="1">
      <alignment horizontal="left" vertical="top" wrapText="1"/>
      <protection locked="0"/>
    </xf>
    <xf numFmtId="0" fontId="26" fillId="0" borderId="4" xfId="1" applyFont="1" applyBorder="1" applyAlignment="1" applyProtection="1">
      <alignment horizontal="left" vertical="top" wrapText="1"/>
      <protection locked="0"/>
    </xf>
    <xf numFmtId="0" fontId="26" fillId="0" borderId="8" xfId="1" applyFont="1" applyBorder="1" applyAlignment="1" applyProtection="1">
      <alignment horizontal="left" vertical="top" wrapText="1"/>
      <protection locked="0"/>
    </xf>
    <xf numFmtId="0" fontId="26" fillId="0" borderId="7" xfId="1" applyFont="1" applyBorder="1" applyAlignment="1" applyProtection="1">
      <alignment horizontal="left" vertical="top" wrapText="1"/>
      <protection locked="0"/>
    </xf>
    <xf numFmtId="0" fontId="26" fillId="0" borderId="6" xfId="1" applyFont="1" applyBorder="1" applyAlignment="1" applyProtection="1">
      <alignment horizontal="left" vertical="top" wrapText="1"/>
      <protection locked="0"/>
    </xf>
    <xf numFmtId="0" fontId="52" fillId="0" borderId="0" xfId="0" applyFont="1"/>
    <xf numFmtId="0" fontId="52" fillId="0" borderId="4" xfId="0" applyFont="1" applyBorder="1"/>
    <xf numFmtId="0" fontId="38" fillId="0" borderId="0" xfId="1" applyFont="1" applyFill="1" applyBorder="1" applyAlignment="1">
      <alignment horizontal="right"/>
    </xf>
    <xf numFmtId="0" fontId="10" fillId="8" borderId="7" xfId="1" applyFont="1" applyFill="1" applyBorder="1" applyAlignment="1">
      <alignment horizontal="center" vertical="center"/>
    </xf>
    <xf numFmtId="0" fontId="10" fillId="8" borderId="6" xfId="1" applyFont="1" applyFill="1" applyBorder="1" applyAlignment="1">
      <alignment horizontal="center" vertical="center"/>
    </xf>
    <xf numFmtId="0" fontId="10" fillId="8" borderId="2" xfId="1" applyFont="1" applyFill="1" applyBorder="1" applyAlignment="1">
      <alignment horizontal="center" vertical="center"/>
    </xf>
    <xf numFmtId="0" fontId="10" fillId="8" borderId="1" xfId="1" applyFont="1" applyFill="1" applyBorder="1" applyAlignment="1">
      <alignment horizontal="center" vertical="center"/>
    </xf>
    <xf numFmtId="0" fontId="38" fillId="8" borderId="13" xfId="1" applyFont="1" applyFill="1" applyBorder="1" applyAlignment="1">
      <alignment horizontal="center"/>
    </xf>
    <xf numFmtId="0" fontId="35" fillId="0" borderId="0" xfId="1" applyFont="1" applyBorder="1" applyAlignment="1">
      <alignment horizontal="left"/>
    </xf>
    <xf numFmtId="0" fontId="38" fillId="0" borderId="0" xfId="1" applyFont="1" applyBorder="1" applyAlignment="1">
      <alignment horizontal="left"/>
    </xf>
    <xf numFmtId="0" fontId="31" fillId="0" borderId="0" xfId="1" applyFont="1" applyAlignment="1">
      <alignment horizontal="center"/>
    </xf>
    <xf numFmtId="0" fontId="20" fillId="0" borderId="0" xfId="1" applyFont="1" applyAlignment="1">
      <alignment horizontal="center"/>
    </xf>
    <xf numFmtId="0" fontId="19" fillId="0" borderId="5" xfId="1" applyFont="1" applyBorder="1" applyAlignment="1" applyProtection="1">
      <alignment horizontal="center" vertical="top" wrapText="1"/>
      <protection locked="0"/>
    </xf>
    <xf numFmtId="0" fontId="19" fillId="0" borderId="0" xfId="1" applyFont="1" applyBorder="1" applyAlignment="1" applyProtection="1">
      <alignment horizontal="center" vertical="top" wrapText="1"/>
      <protection locked="0"/>
    </xf>
    <xf numFmtId="0" fontId="19" fillId="0" borderId="4" xfId="1" applyFont="1" applyBorder="1" applyAlignment="1" applyProtection="1">
      <alignment horizontal="center" vertical="top" wrapText="1"/>
      <protection locked="0"/>
    </xf>
    <xf numFmtId="0" fontId="19" fillId="0" borderId="3" xfId="1" applyFont="1" applyBorder="1" applyAlignment="1" applyProtection="1">
      <alignment horizontal="center" vertical="top" wrapText="1"/>
      <protection locked="0"/>
    </xf>
    <xf numFmtId="0" fontId="19" fillId="0" borderId="2" xfId="1" applyFont="1" applyBorder="1" applyAlignment="1" applyProtection="1">
      <alignment horizontal="center" vertical="top" wrapText="1"/>
      <protection locked="0"/>
    </xf>
    <xf numFmtId="0" fontId="19" fillId="0" borderId="1" xfId="1" applyFont="1" applyBorder="1" applyAlignment="1" applyProtection="1">
      <alignment horizontal="center" vertical="top" wrapText="1"/>
      <protection locked="0"/>
    </xf>
    <xf numFmtId="0" fontId="19" fillId="0" borderId="8" xfId="1" applyFont="1" applyBorder="1" applyAlignment="1" applyProtection="1">
      <alignment horizontal="center" vertical="top" wrapText="1"/>
      <protection locked="0"/>
    </xf>
    <xf numFmtId="0" fontId="19" fillId="0" borderId="7" xfId="1" applyFont="1" applyBorder="1" applyAlignment="1" applyProtection="1">
      <alignment horizontal="center" vertical="top" wrapText="1"/>
      <protection locked="0"/>
    </xf>
    <xf numFmtId="0" fontId="19" fillId="0" borderId="6" xfId="1" applyFont="1" applyBorder="1" applyAlignment="1" applyProtection="1">
      <alignment horizontal="center" vertical="top" wrapText="1"/>
      <protection locked="0"/>
    </xf>
    <xf numFmtId="0" fontId="6" fillId="0" borderId="0" xfId="1" applyFont="1" applyAlignment="1">
      <alignment horizontal="center"/>
    </xf>
    <xf numFmtId="164" fontId="35" fillId="0" borderId="4" xfId="1" applyNumberFormat="1" applyFont="1" applyBorder="1" applyAlignment="1">
      <alignment horizontal="center" textRotation="90"/>
    </xf>
    <xf numFmtId="0" fontId="35" fillId="0" borderId="0" xfId="1" applyFont="1" applyAlignment="1"/>
    <xf numFmtId="0" fontId="35" fillId="0" borderId="0" xfId="1" applyFont="1" applyAlignment="1">
      <alignment textRotation="90"/>
    </xf>
    <xf numFmtId="0" fontId="10" fillId="8" borderId="0" xfId="1" applyFont="1" applyFill="1" applyBorder="1" applyAlignment="1">
      <alignment horizontal="center" vertical="center"/>
    </xf>
    <xf numFmtId="0" fontId="10" fillId="8" borderId="4" xfId="1" applyFont="1" applyFill="1" applyBorder="1" applyAlignment="1">
      <alignment horizontal="center" vertical="center"/>
    </xf>
    <xf numFmtId="0" fontId="35" fillId="0" borderId="14" xfId="1" applyFont="1" applyBorder="1" applyAlignment="1">
      <alignment horizontal="center"/>
    </xf>
    <xf numFmtId="0" fontId="35" fillId="0" borderId="13" xfId="1" applyFont="1" applyBorder="1" applyAlignment="1">
      <alignment horizontal="center"/>
    </xf>
    <xf numFmtId="0" fontId="10" fillId="8" borderId="7" xfId="1" applyNumberFormat="1" applyFont="1" applyFill="1" applyBorder="1" applyAlignment="1">
      <alignment horizontal="center"/>
    </xf>
    <xf numFmtId="0" fontId="10" fillId="8" borderId="6" xfId="1" applyNumberFormat="1" applyFont="1" applyFill="1" applyBorder="1" applyAlignment="1">
      <alignment horizontal="center"/>
    </xf>
    <xf numFmtId="0" fontId="10" fillId="8" borderId="2" xfId="1" applyNumberFormat="1" applyFont="1" applyFill="1" applyBorder="1" applyAlignment="1">
      <alignment horizontal="center"/>
    </xf>
    <xf numFmtId="0" fontId="10" fillId="8" borderId="1" xfId="1" applyNumberFormat="1" applyFont="1" applyFill="1" applyBorder="1" applyAlignment="1">
      <alignment horizontal="center"/>
    </xf>
    <xf numFmtId="49" fontId="51" fillId="8" borderId="8" xfId="1" applyNumberFormat="1" applyFont="1" applyFill="1" applyBorder="1" applyAlignment="1">
      <alignment horizontal="center" vertical="center"/>
    </xf>
    <xf numFmtId="49" fontId="51" fillId="8" borderId="7" xfId="1" applyNumberFormat="1" applyFont="1" applyFill="1" applyBorder="1" applyAlignment="1">
      <alignment horizontal="center" vertical="center"/>
    </xf>
    <xf numFmtId="49" fontId="51" fillId="8" borderId="3" xfId="1" applyNumberFormat="1" applyFont="1" applyFill="1" applyBorder="1" applyAlignment="1">
      <alignment horizontal="center" vertical="center"/>
    </xf>
    <xf numFmtId="49" fontId="51" fillId="8" borderId="2" xfId="1" applyNumberFormat="1" applyFont="1" applyFill="1" applyBorder="1" applyAlignment="1">
      <alignment horizontal="center" vertical="center"/>
    </xf>
    <xf numFmtId="0" fontId="38" fillId="8" borderId="14" xfId="1" applyFont="1" applyFill="1" applyBorder="1" applyAlignment="1">
      <alignment horizontal="left"/>
    </xf>
    <xf numFmtId="0" fontId="38" fillId="8" borderId="13" xfId="1" applyFont="1" applyFill="1" applyBorder="1" applyAlignment="1">
      <alignment horizontal="left"/>
    </xf>
    <xf numFmtId="164" fontId="58" fillId="0" borderId="7" xfId="1" applyNumberFormat="1" applyFont="1" applyBorder="1" applyAlignment="1">
      <alignment horizontal="center"/>
    </xf>
    <xf numFmtId="164" fontId="2" fillId="2" borderId="2" xfId="1" applyNumberFormat="1" applyFont="1" applyFill="1" applyBorder="1" applyAlignment="1">
      <alignment horizontal="center"/>
    </xf>
    <xf numFmtId="164" fontId="2" fillId="0" borderId="0" xfId="1" applyNumberFormat="1" applyFont="1" applyBorder="1" applyAlignment="1">
      <alignment horizontal="center"/>
    </xf>
    <xf numFmtId="164" fontId="2" fillId="2" borderId="0" xfId="1" applyNumberFormat="1" applyFont="1" applyFill="1" applyBorder="1" applyAlignment="1">
      <alignment horizontal="center"/>
    </xf>
    <xf numFmtId="0" fontId="2" fillId="0" borderId="0" xfId="1" applyFont="1" applyAlignment="1">
      <alignment horizontal="right"/>
    </xf>
    <xf numFmtId="0" fontId="2" fillId="0" borderId="0" xfId="1" applyFont="1" applyBorder="1" applyAlignment="1">
      <alignment horizontal="right"/>
    </xf>
    <xf numFmtId="0" fontId="2" fillId="2" borderId="0" xfId="1" applyFont="1" applyFill="1" applyAlignment="1">
      <alignment horizontal="right"/>
    </xf>
    <xf numFmtId="0" fontId="2" fillId="2" borderId="0" xfId="1" applyFont="1" applyFill="1" applyBorder="1" applyAlignment="1">
      <alignment horizontal="right"/>
    </xf>
    <xf numFmtId="164" fontId="2" fillId="0" borderId="7" xfId="1" applyNumberFormat="1" applyFont="1" applyBorder="1" applyAlignment="1">
      <alignment horizontal="center"/>
    </xf>
    <xf numFmtId="0" fontId="0" fillId="0" borderId="2" xfId="0" applyBorder="1" applyAlignment="1">
      <alignment horizontal="center"/>
    </xf>
    <xf numFmtId="0" fontId="52" fillId="0" borderId="2" xfId="0" applyFont="1" applyBorder="1" applyAlignment="1">
      <alignment horizontal="center"/>
    </xf>
    <xf numFmtId="0" fontId="52" fillId="0" borderId="0" xfId="0" applyFont="1" applyAlignment="1">
      <alignment horizontal="right"/>
    </xf>
    <xf numFmtId="0" fontId="52" fillId="0" borderId="4" xfId="0" applyFont="1" applyBorder="1" applyAlignment="1">
      <alignment horizontal="right"/>
    </xf>
    <xf numFmtId="0" fontId="59" fillId="0" borderId="14" xfId="0" applyFont="1" applyBorder="1" applyAlignment="1">
      <alignment horizontal="center"/>
    </xf>
    <xf numFmtId="0" fontId="59" fillId="0" borderId="13" xfId="0" applyFont="1" applyBorder="1" applyAlignment="1">
      <alignment horizontal="center"/>
    </xf>
    <xf numFmtId="0" fontId="59" fillId="0" borderId="12" xfId="0" applyFont="1" applyBorder="1" applyAlignment="1">
      <alignment horizontal="center"/>
    </xf>
    <xf numFmtId="0" fontId="52" fillId="0" borderId="0" xfId="0" applyFont="1" applyAlignment="1">
      <alignment horizontal="center"/>
    </xf>
    <xf numFmtId="0" fontId="52" fillId="0" borderId="0" xfId="0" applyFont="1" applyAlignment="1">
      <alignment horizontal="left" vertical="top" wrapText="1"/>
    </xf>
    <xf numFmtId="0" fontId="52" fillId="0" borderId="2" xfId="0" applyFont="1" applyBorder="1" applyAlignment="1">
      <alignment horizontal="left" vertical="top" wrapText="1"/>
    </xf>
    <xf numFmtId="0" fontId="52" fillId="9" borderId="14" xfId="0" applyFont="1" applyFill="1" applyBorder="1" applyAlignment="1">
      <alignment horizontal="center"/>
    </xf>
    <xf numFmtId="0" fontId="52" fillId="9" borderId="13" xfId="0" applyFont="1" applyFill="1" applyBorder="1" applyAlignment="1">
      <alignment horizontal="center"/>
    </xf>
    <xf numFmtId="0" fontId="52" fillId="9" borderId="12" xfId="0" applyFont="1" applyFill="1" applyBorder="1" applyAlignment="1">
      <alignment horizontal="center"/>
    </xf>
    <xf numFmtId="0" fontId="52" fillId="0" borderId="0" xfId="0" applyFont="1" applyBorder="1" applyAlignment="1">
      <alignment horizontal="right"/>
    </xf>
    <xf numFmtId="0" fontId="55" fillId="8" borderId="8" xfId="0" applyFont="1" applyFill="1" applyBorder="1" applyAlignment="1">
      <alignment horizontal="center" vertical="center"/>
    </xf>
    <xf numFmtId="0" fontId="55" fillId="8" borderId="7" xfId="0" applyFont="1" applyFill="1" applyBorder="1" applyAlignment="1">
      <alignment horizontal="center" vertical="center"/>
    </xf>
    <xf numFmtId="0" fontId="55" fillId="8" borderId="3" xfId="0" applyFont="1" applyFill="1" applyBorder="1" applyAlignment="1">
      <alignment horizontal="center" vertical="center"/>
    </xf>
    <xf numFmtId="0" fontId="55" fillId="8" borderId="2" xfId="0" applyFont="1" applyFill="1" applyBorder="1" applyAlignment="1">
      <alignment horizontal="center" vertical="center"/>
    </xf>
    <xf numFmtId="0" fontId="57" fillId="8" borderId="2" xfId="0" applyFont="1" applyFill="1" applyBorder="1" applyAlignment="1">
      <alignment horizontal="center"/>
    </xf>
    <xf numFmtId="0" fontId="57" fillId="8" borderId="1" xfId="0" applyFont="1" applyFill="1" applyBorder="1" applyAlignment="1">
      <alignment horizontal="center"/>
    </xf>
    <xf numFmtId="0" fontId="57" fillId="8" borderId="7" xfId="0" applyFont="1" applyFill="1" applyBorder="1" applyAlignment="1">
      <alignment horizontal="center"/>
    </xf>
    <xf numFmtId="0" fontId="57" fillId="8" borderId="6" xfId="0" applyFont="1" applyFill="1" applyBorder="1" applyAlignment="1">
      <alignment horizontal="center"/>
    </xf>
  </cellXfs>
  <cellStyles count="59">
    <cellStyle name="Euro" xfId="3"/>
    <cellStyle name="Euro 2" xfId="4"/>
    <cellStyle name="Euro 2 2" xfId="5"/>
    <cellStyle name="Euro 3" xfId="6"/>
    <cellStyle name="Euro 3 2" xfId="7"/>
    <cellStyle name="Euro 4" xfId="8"/>
    <cellStyle name="Euro 4 2" xfId="9"/>
    <cellStyle name="Hyperlink" xfId="58" builtinId="8"/>
    <cellStyle name="Normal" xfId="0" builtinId="0"/>
    <cellStyle name="Normal 2" xfId="1"/>
    <cellStyle name="Normal 2 2" xfId="11"/>
    <cellStyle name="Normal 2 2 2" xfId="12"/>
    <cellStyle name="Normal 2 2 2 2" xfId="13"/>
    <cellStyle name="Normal 2 2 2 2 2" xfId="14"/>
    <cellStyle name="Normal 2 2 2 3" xfId="15"/>
    <cellStyle name="Normal 2 2 2 3 2" xfId="16"/>
    <cellStyle name="Normal 2 2 2 4" xfId="17"/>
    <cellStyle name="Normal 2 2 3" xfId="18"/>
    <cellStyle name="Normal 2 2 3 2" xfId="19"/>
    <cellStyle name="Normal 2 2 3 2 2" xfId="20"/>
    <cellStyle name="Normal 2 2 3 3" xfId="21"/>
    <cellStyle name="Normal 2 2 3 3 2" xfId="22"/>
    <cellStyle name="Normal 2 2 3 4" xfId="23"/>
    <cellStyle name="Normal 2 2 4" xfId="24"/>
    <cellStyle name="Normal 2 2 4 2" xfId="25"/>
    <cellStyle name="Normal 2 2 5" xfId="26"/>
    <cellStyle name="Normal 2 2 6" xfId="27"/>
    <cellStyle name="Normal 2 2 7" xfId="28"/>
    <cellStyle name="Normal 2 3" xfId="29"/>
    <cellStyle name="Normal 2 3 2" xfId="30"/>
    <cellStyle name="Normal 2 3 2 2" xfId="31"/>
    <cellStyle name="Normal 2 3 3" xfId="32"/>
    <cellStyle name="Normal 2 3 3 2" xfId="33"/>
    <cellStyle name="Normal 2 3 4" xfId="34"/>
    <cellStyle name="Normal 2 4" xfId="35"/>
    <cellStyle name="Normal 2 4 2" xfId="36"/>
    <cellStyle name="Normal 2 5" xfId="37"/>
    <cellStyle name="Normal 2 5 2" xfId="38"/>
    <cellStyle name="Normal 2 5 2 2" xfId="39"/>
    <cellStyle name="Normal 2 5 3" xfId="40"/>
    <cellStyle name="Normal 2 6" xfId="41"/>
    <cellStyle name="Normal 2 6 2" xfId="42"/>
    <cellStyle name="Normal 2 7" xfId="43"/>
    <cellStyle name="Normal 2 7 2" xfId="44"/>
    <cellStyle name="Normal 2 7 3" xfId="45"/>
    <cellStyle name="Normal 2 8" xfId="46"/>
    <cellStyle name="Normal 2 9" xfId="10"/>
    <cellStyle name="Normal 3" xfId="2"/>
    <cellStyle name="Normal 3 2" xfId="48"/>
    <cellStyle name="Normal 3 3" xfId="49"/>
    <cellStyle name="Normal 3 4" xfId="47"/>
    <cellStyle name="Normal 4" xfId="50"/>
    <cellStyle name="Normal 4 2" xfId="51"/>
    <cellStyle name="Normal 5" xfId="52"/>
    <cellStyle name="Normal 5 2" xfId="53"/>
    <cellStyle name="Normal 6" xfId="54"/>
    <cellStyle name="Normal 7" xfId="55"/>
    <cellStyle name="Normal 7 2" xfId="57"/>
    <cellStyle name="Normal 8" xfId="56"/>
  </cellStyles>
  <dxfs count="0"/>
  <tableStyles count="0" defaultTableStyle="TableStyleMedium9" defaultPivotStyle="PivotStyleLight16"/>
  <colors>
    <mruColors>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fmlaLink="DropDownList!$Q$2"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Radio" firstButton="1"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checked="Checked" lockText="1"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firstButton="1" lockText="1"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checked="Checked"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GBox" noThreeD="1"/>
</file>

<file path=xl/ctrlProps/ctrlProp25.xml><?xml version="1.0" encoding="utf-8"?>
<formControlPr xmlns="http://schemas.microsoft.com/office/spreadsheetml/2009/9/main" objectType="Radio" firstButton="1"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checked="Checked" lockText="1"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Radio" firstButton="1" lockText="1" noThreeD="1"/>
</file>

<file path=xl/ctrlProps/ctrlProp3.xml><?xml version="1.0" encoding="utf-8"?>
<formControlPr xmlns="http://schemas.microsoft.com/office/spreadsheetml/2009/9/main" objectType="Radio" checked="Checked" firstButton="1" fmlaLink="DropDownList!$V$19"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checked="Checked"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Radio" firstButton="1"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checked="Checked"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Radio" checked="Checked" firstButton="1"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Radio" firstButton="1" fmlaLink="DropDownList!$N$2" lockText="1" noThreeD="1"/>
</file>

<file path=xl/ctrlProps/ctrlProp45.xml><?xml version="1.0" encoding="utf-8"?>
<formControlPr xmlns="http://schemas.microsoft.com/office/spreadsheetml/2009/9/main" objectType="Radio" checked="Checked" lockText="1"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Radio" firstButton="1" lockText="1" noThreeD="1"/>
</file>

<file path=xl/ctrlProps/ctrlProp48.xml><?xml version="1.0" encoding="utf-8"?>
<formControlPr xmlns="http://schemas.microsoft.com/office/spreadsheetml/2009/9/main" objectType="Radio" firstButton="1" lockText="1" noThreeD="1"/>
</file>

<file path=xl/ctrlProps/ctrlProp49.xml><?xml version="1.0" encoding="utf-8"?>
<formControlPr xmlns="http://schemas.microsoft.com/office/spreadsheetml/2009/9/main" objectType="CheckBox"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CheckBox" fmlaLink="DropDownList!$O$2"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fmlaLink="DropDownList!$P$2" lockText="1"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CheckBox" fmlaLink="DropDownList!$Z$19" lockText="1" noThreeD="1"/>
</file>

<file path=xl/ctrlProps/ctrlProp61.xml><?xml version="1.0" encoding="utf-8"?>
<formControlPr xmlns="http://schemas.microsoft.com/office/spreadsheetml/2009/9/main" objectType="CheckBox" fmlaLink="DropDownList!$AA$19" lockText="1" noThreeD="1"/>
</file>

<file path=xl/ctrlProps/ctrlProp62.xml><?xml version="1.0" encoding="utf-8"?>
<formControlPr xmlns="http://schemas.microsoft.com/office/spreadsheetml/2009/9/main" objectType="CheckBox" fmlaLink="DropDownList!$AB$19" lockText="1"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GBox"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4.jpeg"/><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jpeg"/><Relationship Id="rId4"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jpeg"/><Relationship Id="rId5" Type="http://schemas.openxmlformats.org/officeDocument/2006/relationships/image" Target="../media/image12.jpeg"/><Relationship Id="rId4"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png"/><Relationship Id="rId4"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drawing1.xml><?xml version="1.0" encoding="utf-8"?>
<xdr:wsDr xmlns:xdr="http://schemas.openxmlformats.org/drawingml/2006/spreadsheetDrawing" xmlns:a="http://schemas.openxmlformats.org/drawingml/2006/main">
  <xdr:twoCellAnchor editAs="oneCell">
    <xdr:from>
      <xdr:col>21</xdr:col>
      <xdr:colOff>0</xdr:colOff>
      <xdr:row>29</xdr:row>
      <xdr:rowOff>0</xdr:rowOff>
    </xdr:from>
    <xdr:to>
      <xdr:col>25</xdr:col>
      <xdr:colOff>485775</xdr:colOff>
      <xdr:row>46</xdr:row>
      <xdr:rowOff>9525</xdr:rowOff>
    </xdr:to>
    <xdr:pic>
      <xdr:nvPicPr>
        <xdr:cNvPr id="2" name="Picture 1" descr="D-46.JPG"/>
        <xdr:cNvPicPr>
          <a:picLocks noChangeAspect="1"/>
        </xdr:cNvPicPr>
      </xdr:nvPicPr>
      <xdr:blipFill>
        <a:blip xmlns:r="http://schemas.openxmlformats.org/officeDocument/2006/relationships" r:embed="rId1" cstate="print"/>
        <a:stretch>
          <a:fillRect/>
        </a:stretch>
      </xdr:blipFill>
      <xdr:spPr>
        <a:xfrm>
          <a:off x="14982825" y="5524500"/>
          <a:ext cx="2924175" cy="3248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344487</xdr:colOff>
      <xdr:row>10</xdr:row>
      <xdr:rowOff>58737</xdr:rowOff>
    </xdr:from>
    <xdr:to>
      <xdr:col>10</xdr:col>
      <xdr:colOff>1163637</xdr:colOff>
      <xdr:row>13</xdr:row>
      <xdr:rowOff>73025</xdr:rowOff>
    </xdr:to>
    <xdr:sp macro="" textlink="">
      <xdr:nvSpPr>
        <xdr:cNvPr id="2" name="Oval 5"/>
        <xdr:cNvSpPr>
          <a:spLocks noChangeArrowheads="1"/>
        </xdr:cNvSpPr>
      </xdr:nvSpPr>
      <xdr:spPr bwMode="auto">
        <a:xfrm>
          <a:off x="7031037" y="2211387"/>
          <a:ext cx="819150" cy="595313"/>
        </a:xfrm>
        <a:prstGeom prst="ellipse">
          <a:avLst/>
        </a:prstGeom>
        <a:solidFill>
          <a:srgbClr val="FFFFFF"/>
        </a:solidFill>
        <a:ln w="9525">
          <a:solidFill>
            <a:srgbClr val="000000"/>
          </a:solidFill>
          <a:round/>
          <a:headEnd/>
          <a:tailEnd/>
        </a:ln>
      </xdr:spPr>
    </xdr:sp>
    <xdr:clientData/>
  </xdr:twoCellAnchor>
  <xdr:twoCellAnchor>
    <xdr:from>
      <xdr:col>10</xdr:col>
      <xdr:colOff>355600</xdr:colOff>
      <xdr:row>3</xdr:row>
      <xdr:rowOff>0</xdr:rowOff>
    </xdr:from>
    <xdr:to>
      <xdr:col>10</xdr:col>
      <xdr:colOff>1547812</xdr:colOff>
      <xdr:row>6</xdr:row>
      <xdr:rowOff>33351</xdr:rowOff>
    </xdr:to>
    <xdr:sp macro="" textlink="">
      <xdr:nvSpPr>
        <xdr:cNvPr id="3" name="Rectangle 6"/>
        <xdr:cNvSpPr>
          <a:spLocks noChangeArrowheads="1"/>
        </xdr:cNvSpPr>
      </xdr:nvSpPr>
      <xdr:spPr bwMode="auto">
        <a:xfrm>
          <a:off x="7042150" y="590563"/>
          <a:ext cx="1192212" cy="785813"/>
        </a:xfrm>
        <a:prstGeom prst="rect">
          <a:avLst/>
        </a:prstGeom>
        <a:solidFill>
          <a:srgbClr val="FFFFFF"/>
        </a:solidFill>
        <a:ln w="9525">
          <a:solidFill>
            <a:srgbClr val="000000"/>
          </a:solidFill>
          <a:miter lim="800000"/>
          <a:headEnd/>
          <a:tailEnd/>
        </a:ln>
      </xdr:spPr>
    </xdr:sp>
    <xdr:clientData/>
  </xdr:twoCellAnchor>
  <xdr:twoCellAnchor>
    <xdr:from>
      <xdr:col>10</xdr:col>
      <xdr:colOff>382587</xdr:colOff>
      <xdr:row>6</xdr:row>
      <xdr:rowOff>180988</xdr:rowOff>
    </xdr:from>
    <xdr:to>
      <xdr:col>10</xdr:col>
      <xdr:colOff>1546224</xdr:colOff>
      <xdr:row>6</xdr:row>
      <xdr:rowOff>180988</xdr:rowOff>
    </xdr:to>
    <xdr:sp macro="" textlink="">
      <xdr:nvSpPr>
        <xdr:cNvPr id="4" name="Line 8"/>
        <xdr:cNvSpPr>
          <a:spLocks noChangeShapeType="1"/>
        </xdr:cNvSpPr>
      </xdr:nvSpPr>
      <xdr:spPr bwMode="auto">
        <a:xfrm>
          <a:off x="7069137" y="1524013"/>
          <a:ext cx="1163637" cy="0"/>
        </a:xfrm>
        <a:prstGeom prst="line">
          <a:avLst/>
        </a:prstGeom>
        <a:noFill/>
        <a:ln w="9525">
          <a:solidFill>
            <a:srgbClr val="000000"/>
          </a:solidFill>
          <a:round/>
          <a:headEnd type="triangle" w="med" len="med"/>
          <a:tailEnd type="triangle" w="med" len="med"/>
        </a:ln>
      </xdr:spPr>
    </xdr:sp>
    <xdr:clientData/>
  </xdr:twoCellAnchor>
  <xdr:twoCellAnchor>
    <xdr:from>
      <xdr:col>10</xdr:col>
      <xdr:colOff>1811337</xdr:colOff>
      <xdr:row>3</xdr:row>
      <xdr:rowOff>0</xdr:rowOff>
    </xdr:from>
    <xdr:to>
      <xdr:col>10</xdr:col>
      <xdr:colOff>1811337</xdr:colOff>
      <xdr:row>6</xdr:row>
      <xdr:rowOff>46050</xdr:rowOff>
    </xdr:to>
    <xdr:sp macro="" textlink="">
      <xdr:nvSpPr>
        <xdr:cNvPr id="5" name="Line 9"/>
        <xdr:cNvSpPr>
          <a:spLocks noChangeShapeType="1"/>
        </xdr:cNvSpPr>
      </xdr:nvSpPr>
      <xdr:spPr bwMode="auto">
        <a:xfrm>
          <a:off x="8497887" y="574687"/>
          <a:ext cx="0" cy="814388"/>
        </a:xfrm>
        <a:prstGeom prst="line">
          <a:avLst/>
        </a:prstGeom>
        <a:noFill/>
        <a:ln w="9525">
          <a:solidFill>
            <a:srgbClr val="000000"/>
          </a:solidFill>
          <a:round/>
          <a:headEnd type="triangle" w="med" len="med"/>
          <a:tailEnd type="triangle" w="med" len="med"/>
        </a:ln>
      </xdr:spPr>
    </xdr:sp>
    <xdr:clientData/>
  </xdr:twoCellAnchor>
  <xdr:twoCellAnchor>
    <xdr:from>
      <xdr:col>11</xdr:col>
      <xdr:colOff>31750</xdr:colOff>
      <xdr:row>3</xdr:row>
      <xdr:rowOff>144476</xdr:rowOff>
    </xdr:from>
    <xdr:to>
      <xdr:col>12</xdr:col>
      <xdr:colOff>452437</xdr:colOff>
      <xdr:row>6</xdr:row>
      <xdr:rowOff>85738</xdr:rowOff>
    </xdr:to>
    <xdr:sp macro="" textlink="">
      <xdr:nvSpPr>
        <xdr:cNvPr id="6" name="Text Box 10"/>
        <xdr:cNvSpPr txBox="1">
          <a:spLocks noChangeArrowheads="1"/>
        </xdr:cNvSpPr>
      </xdr:nvSpPr>
      <xdr:spPr bwMode="auto">
        <a:xfrm>
          <a:off x="8709025" y="858851"/>
          <a:ext cx="1077912" cy="569912"/>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Width</a:t>
          </a:r>
        </a:p>
      </xdr:txBody>
    </xdr:sp>
    <xdr:clientData/>
  </xdr:twoCellAnchor>
  <xdr:twoCellAnchor>
    <xdr:from>
      <xdr:col>10</xdr:col>
      <xdr:colOff>763587</xdr:colOff>
      <xdr:row>7</xdr:row>
      <xdr:rowOff>154000</xdr:rowOff>
    </xdr:from>
    <xdr:to>
      <xdr:col>10</xdr:col>
      <xdr:colOff>1504949</xdr:colOff>
      <xdr:row>8</xdr:row>
      <xdr:rowOff>144475</xdr:rowOff>
    </xdr:to>
    <xdr:sp macro="" textlink="">
      <xdr:nvSpPr>
        <xdr:cNvPr id="7" name="Text Box 11"/>
        <xdr:cNvSpPr txBox="1">
          <a:spLocks noChangeArrowheads="1"/>
        </xdr:cNvSpPr>
      </xdr:nvSpPr>
      <xdr:spPr bwMode="auto">
        <a:xfrm>
          <a:off x="7450137" y="1735150"/>
          <a:ext cx="741362" cy="2000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Length</a:t>
          </a:r>
        </a:p>
      </xdr:txBody>
    </xdr:sp>
    <xdr:clientData/>
  </xdr:twoCellAnchor>
  <xdr:twoCellAnchor>
    <xdr:from>
      <xdr:col>10</xdr:col>
      <xdr:colOff>520268</xdr:colOff>
      <xdr:row>10</xdr:row>
      <xdr:rowOff>132484</xdr:rowOff>
    </xdr:from>
    <xdr:to>
      <xdr:col>10</xdr:col>
      <xdr:colOff>1187018</xdr:colOff>
      <xdr:row>11</xdr:row>
      <xdr:rowOff>129886</xdr:rowOff>
    </xdr:to>
    <xdr:sp macro="" textlink="">
      <xdr:nvSpPr>
        <xdr:cNvPr id="8" name="Text Box 12"/>
        <xdr:cNvSpPr txBox="1">
          <a:spLocks noChangeArrowheads="1"/>
        </xdr:cNvSpPr>
      </xdr:nvSpPr>
      <xdr:spPr bwMode="auto">
        <a:xfrm>
          <a:off x="7206818" y="2285134"/>
          <a:ext cx="666750" cy="16885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Radius</a:t>
          </a:r>
        </a:p>
      </xdr:txBody>
    </xdr:sp>
    <xdr:clientData/>
  </xdr:twoCellAnchor>
  <xdr:twoCellAnchor>
    <xdr:from>
      <xdr:col>10</xdr:col>
      <xdr:colOff>35935</xdr:colOff>
      <xdr:row>62</xdr:row>
      <xdr:rowOff>107157</xdr:rowOff>
    </xdr:from>
    <xdr:to>
      <xdr:col>15</xdr:col>
      <xdr:colOff>342020</xdr:colOff>
      <xdr:row>73</xdr:row>
      <xdr:rowOff>107157</xdr:rowOff>
    </xdr:to>
    <xdr:pic>
      <xdr:nvPicPr>
        <xdr:cNvPr id="9" name="Picture 13" descr="timer capacity"/>
        <xdr:cNvPicPr>
          <a:picLocks noChangeAspect="1" noChangeArrowheads="1"/>
        </xdr:cNvPicPr>
      </xdr:nvPicPr>
      <xdr:blipFill>
        <a:blip xmlns:r="http://schemas.openxmlformats.org/officeDocument/2006/relationships" r:embed="rId1" cstate="print"/>
        <a:srcRect/>
        <a:stretch>
          <a:fillRect/>
        </a:stretch>
      </xdr:blipFill>
      <xdr:spPr bwMode="auto">
        <a:xfrm>
          <a:off x="6917748" y="11203782"/>
          <a:ext cx="4663772" cy="1952625"/>
        </a:xfrm>
        <a:prstGeom prst="rect">
          <a:avLst/>
        </a:prstGeom>
        <a:noFill/>
        <a:ln w="9525">
          <a:noFill/>
          <a:miter lim="800000"/>
          <a:headEnd/>
          <a:tailEnd/>
        </a:ln>
      </xdr:spPr>
    </xdr:pic>
    <xdr:clientData/>
  </xdr:twoCellAnchor>
  <xdr:twoCellAnchor>
    <xdr:from>
      <xdr:col>10</xdr:col>
      <xdr:colOff>673100</xdr:colOff>
      <xdr:row>11</xdr:row>
      <xdr:rowOff>193242</xdr:rowOff>
    </xdr:from>
    <xdr:to>
      <xdr:col>10</xdr:col>
      <xdr:colOff>1158875</xdr:colOff>
      <xdr:row>11</xdr:row>
      <xdr:rowOff>193242</xdr:rowOff>
    </xdr:to>
    <xdr:sp macro="" textlink="">
      <xdr:nvSpPr>
        <xdr:cNvPr id="10" name="Line 14"/>
        <xdr:cNvSpPr>
          <a:spLocks noChangeShapeType="1"/>
        </xdr:cNvSpPr>
      </xdr:nvSpPr>
      <xdr:spPr bwMode="auto">
        <a:xfrm>
          <a:off x="7359650" y="2517342"/>
          <a:ext cx="485775" cy="0"/>
        </a:xfrm>
        <a:prstGeom prst="line">
          <a:avLst/>
        </a:prstGeom>
        <a:noFill/>
        <a:ln w="9525">
          <a:solidFill>
            <a:srgbClr val="000000"/>
          </a:solidFill>
          <a:round/>
          <a:headEnd type="triangle" w="med" len="med"/>
          <a:tailEnd type="triangle" w="med" len="med"/>
        </a:ln>
      </xdr:spPr>
    </xdr:sp>
    <xdr:clientData/>
  </xdr:twoCellAnchor>
  <xdr:twoCellAnchor editAs="oneCell">
    <xdr:from>
      <xdr:col>9</xdr:col>
      <xdr:colOff>352425</xdr:colOff>
      <xdr:row>32</xdr:row>
      <xdr:rowOff>152400</xdr:rowOff>
    </xdr:from>
    <xdr:to>
      <xdr:col>15</xdr:col>
      <xdr:colOff>419101</xdr:colOff>
      <xdr:row>45</xdr:row>
      <xdr:rowOff>1</xdr:rowOff>
    </xdr:to>
    <xdr:pic>
      <xdr:nvPicPr>
        <xdr:cNvPr id="11" name="Picture 10" descr="A-1.JPG"/>
        <xdr:cNvPicPr>
          <a:picLocks noChangeAspect="1"/>
        </xdr:cNvPicPr>
      </xdr:nvPicPr>
      <xdr:blipFill>
        <a:blip xmlns:r="http://schemas.openxmlformats.org/officeDocument/2006/relationships" r:embed="rId2" cstate="print"/>
        <a:stretch>
          <a:fillRect/>
        </a:stretch>
      </xdr:blipFill>
      <xdr:spPr>
        <a:xfrm>
          <a:off x="6638925" y="6686550"/>
          <a:ext cx="4829175" cy="2171700"/>
        </a:xfrm>
        <a:prstGeom prst="rect">
          <a:avLst/>
        </a:prstGeom>
      </xdr:spPr>
    </xdr:pic>
    <xdr:clientData/>
  </xdr:twoCellAnchor>
  <xdr:twoCellAnchor editAs="oneCell">
    <xdr:from>
      <xdr:col>9</xdr:col>
      <xdr:colOff>392907</xdr:colOff>
      <xdr:row>45</xdr:row>
      <xdr:rowOff>47626</xdr:rowOff>
    </xdr:from>
    <xdr:to>
      <xdr:col>13</xdr:col>
      <xdr:colOff>454819</xdr:colOff>
      <xdr:row>59</xdr:row>
      <xdr:rowOff>38101</xdr:rowOff>
    </xdr:to>
    <xdr:pic>
      <xdr:nvPicPr>
        <xdr:cNvPr id="12" name="Picture 11" descr="E-20.JPG"/>
        <xdr:cNvPicPr>
          <a:picLocks noChangeAspect="1"/>
        </xdr:cNvPicPr>
      </xdr:nvPicPr>
      <xdr:blipFill>
        <a:blip xmlns:r="http://schemas.openxmlformats.org/officeDocument/2006/relationships" r:embed="rId3" cstate="print"/>
        <a:stretch>
          <a:fillRect/>
        </a:stretch>
      </xdr:blipFill>
      <xdr:spPr>
        <a:xfrm>
          <a:off x="6869907" y="8251032"/>
          <a:ext cx="3609975" cy="2324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261369</xdr:colOff>
      <xdr:row>32</xdr:row>
      <xdr:rowOff>139020</xdr:rowOff>
    </xdr:from>
    <xdr:to>
      <xdr:col>16</xdr:col>
      <xdr:colOff>296581</xdr:colOff>
      <xdr:row>49</xdr:row>
      <xdr:rowOff>200023</xdr:rowOff>
    </xdr:to>
    <xdr:pic>
      <xdr:nvPicPr>
        <xdr:cNvPr id="3" name="Picture 2" descr="D-33.JPG"/>
        <xdr:cNvPicPr>
          <a:picLocks noChangeAspect="1"/>
        </xdr:cNvPicPr>
      </xdr:nvPicPr>
      <xdr:blipFill>
        <a:blip xmlns:r="http://schemas.openxmlformats.org/officeDocument/2006/relationships" r:embed="rId1" cstate="print"/>
        <a:stretch>
          <a:fillRect/>
        </a:stretch>
      </xdr:blipFill>
      <xdr:spPr>
        <a:xfrm>
          <a:off x="10341994" y="5703208"/>
          <a:ext cx="5829587" cy="3061378"/>
        </a:xfrm>
        <a:prstGeom prst="rect">
          <a:avLst/>
        </a:prstGeom>
      </xdr:spPr>
    </xdr:pic>
    <xdr:clientData/>
  </xdr:twoCellAnchor>
  <xdr:twoCellAnchor editAs="oneCell">
    <xdr:from>
      <xdr:col>14</xdr:col>
      <xdr:colOff>1341662</xdr:colOff>
      <xdr:row>52</xdr:row>
      <xdr:rowOff>175532</xdr:rowOff>
    </xdr:from>
    <xdr:to>
      <xdr:col>18</xdr:col>
      <xdr:colOff>284387</xdr:colOff>
      <xdr:row>62</xdr:row>
      <xdr:rowOff>341</xdr:rowOff>
    </xdr:to>
    <xdr:pic>
      <xdr:nvPicPr>
        <xdr:cNvPr id="5" name="Picture 4" descr="New C-1.JPG"/>
        <xdr:cNvPicPr>
          <a:picLocks noChangeAspect="1"/>
        </xdr:cNvPicPr>
      </xdr:nvPicPr>
      <xdr:blipFill>
        <a:blip xmlns:r="http://schemas.openxmlformats.org/officeDocument/2006/relationships" r:embed="rId2" cstate="print"/>
        <a:stretch>
          <a:fillRect/>
        </a:stretch>
      </xdr:blipFill>
      <xdr:spPr>
        <a:xfrm>
          <a:off x="13209812" y="10148207"/>
          <a:ext cx="4048125" cy="1806008"/>
        </a:xfrm>
        <a:prstGeom prst="rect">
          <a:avLst/>
        </a:prstGeom>
      </xdr:spPr>
    </xdr:pic>
    <xdr:clientData/>
  </xdr:twoCellAnchor>
  <xdr:twoCellAnchor editAs="oneCell">
    <xdr:from>
      <xdr:col>12</xdr:col>
      <xdr:colOff>82778</xdr:colOff>
      <xdr:row>19</xdr:row>
      <xdr:rowOff>79374</xdr:rowOff>
    </xdr:from>
    <xdr:to>
      <xdr:col>15</xdr:col>
      <xdr:colOff>26988</xdr:colOff>
      <xdr:row>31</xdr:row>
      <xdr:rowOff>139244</xdr:rowOff>
    </xdr:to>
    <xdr:pic>
      <xdr:nvPicPr>
        <xdr:cNvPr id="6" name="Picture 5" descr="A-1.JPG"/>
        <xdr:cNvPicPr>
          <a:picLocks noChangeAspect="1"/>
        </xdr:cNvPicPr>
      </xdr:nvPicPr>
      <xdr:blipFill>
        <a:blip xmlns:r="http://schemas.openxmlformats.org/officeDocument/2006/relationships" r:embed="rId3" cstate="print"/>
        <a:stretch>
          <a:fillRect/>
        </a:stretch>
      </xdr:blipFill>
      <xdr:spPr>
        <a:xfrm>
          <a:off x="10163403" y="3421062"/>
          <a:ext cx="4825772" cy="2107745"/>
        </a:xfrm>
        <a:prstGeom prst="rect">
          <a:avLst/>
        </a:prstGeom>
      </xdr:spPr>
    </xdr:pic>
    <xdr:clientData/>
  </xdr:twoCellAnchor>
  <xdr:twoCellAnchor editAs="oneCell">
    <xdr:from>
      <xdr:col>12</xdr:col>
      <xdr:colOff>457200</xdr:colOff>
      <xdr:row>51</xdr:row>
      <xdr:rowOff>200025</xdr:rowOff>
    </xdr:from>
    <xdr:to>
      <xdr:col>14</xdr:col>
      <xdr:colOff>1266825</xdr:colOff>
      <xdr:row>76</xdr:row>
      <xdr:rowOff>114300</xdr:rowOff>
    </xdr:to>
    <xdr:pic>
      <xdr:nvPicPr>
        <xdr:cNvPr id="7" name="Picture 6" descr="D-15.JPG"/>
        <xdr:cNvPicPr>
          <a:picLocks noChangeAspect="1"/>
        </xdr:cNvPicPr>
      </xdr:nvPicPr>
      <xdr:blipFill>
        <a:blip xmlns:r="http://schemas.openxmlformats.org/officeDocument/2006/relationships" r:embed="rId4" cstate="print"/>
        <a:stretch>
          <a:fillRect/>
        </a:stretch>
      </xdr:blipFill>
      <xdr:spPr>
        <a:xfrm>
          <a:off x="9906000" y="9953625"/>
          <a:ext cx="3228975" cy="4371975"/>
        </a:xfrm>
        <a:prstGeom prst="rect">
          <a:avLst/>
        </a:prstGeom>
      </xdr:spPr>
    </xdr:pic>
    <xdr:clientData/>
  </xdr:twoCellAnchor>
  <xdr:twoCellAnchor editAs="oneCell">
    <xdr:from>
      <xdr:col>12</xdr:col>
      <xdr:colOff>561975</xdr:colOff>
      <xdr:row>77</xdr:row>
      <xdr:rowOff>161925</xdr:rowOff>
    </xdr:from>
    <xdr:to>
      <xdr:col>15</xdr:col>
      <xdr:colOff>819149</xdr:colOff>
      <xdr:row>109</xdr:row>
      <xdr:rowOff>114300</xdr:rowOff>
    </xdr:to>
    <xdr:pic>
      <xdr:nvPicPr>
        <xdr:cNvPr id="8" name="Picture 7" descr="D-42.JPG"/>
        <xdr:cNvPicPr>
          <a:picLocks noChangeAspect="1"/>
        </xdr:cNvPicPr>
      </xdr:nvPicPr>
      <xdr:blipFill>
        <a:blip xmlns:r="http://schemas.openxmlformats.org/officeDocument/2006/relationships" r:embed="rId5" cstate="print"/>
        <a:stretch>
          <a:fillRect/>
        </a:stretch>
      </xdr:blipFill>
      <xdr:spPr>
        <a:xfrm>
          <a:off x="10010775" y="14535150"/>
          <a:ext cx="5133975" cy="6410325"/>
        </a:xfrm>
        <a:prstGeom prst="rect">
          <a:avLst/>
        </a:prstGeom>
      </xdr:spPr>
    </xdr:pic>
    <xdr:clientData/>
  </xdr:twoCellAnchor>
  <xdr:twoCellAnchor>
    <xdr:from>
      <xdr:col>7</xdr:col>
      <xdr:colOff>1295400</xdr:colOff>
      <xdr:row>20</xdr:row>
      <xdr:rowOff>33338</xdr:rowOff>
    </xdr:from>
    <xdr:to>
      <xdr:col>10</xdr:col>
      <xdr:colOff>369888</xdr:colOff>
      <xdr:row>22</xdr:row>
      <xdr:rowOff>185738</xdr:rowOff>
    </xdr:to>
    <xdr:sp macro="" textlink="">
      <xdr:nvSpPr>
        <xdr:cNvPr id="9" name="TextBox 8"/>
        <xdr:cNvSpPr txBox="1"/>
      </xdr:nvSpPr>
      <xdr:spPr>
        <a:xfrm>
          <a:off x="7272338" y="3605213"/>
          <a:ext cx="2305050" cy="469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System</a:t>
          </a:r>
          <a:r>
            <a:rPr lang="en-US" sz="1100" baseline="0"/>
            <a:t> Type selection is </a:t>
          </a:r>
          <a:r>
            <a:rPr lang="en-US" sz="1100" b="1" baseline="0"/>
            <a:t>REQUIRED</a:t>
          </a:r>
          <a:r>
            <a:rPr lang="en-US" sz="1100" baseline="0"/>
            <a:t> to make spreadsheet work correctly</a:t>
          </a:r>
          <a:endParaRPr 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76</xdr:row>
          <xdr:rowOff>0</xdr:rowOff>
        </xdr:from>
        <xdr:to>
          <xdr:col>4</xdr:col>
          <xdr:colOff>590550</xdr:colOff>
          <xdr:row>77</xdr:row>
          <xdr:rowOff>9525</xdr:rowOff>
        </xdr:to>
        <xdr:sp macro="" textlink="">
          <xdr:nvSpPr>
            <xdr:cNvPr id="1192" name="Check Box 168" hidden="1">
              <a:extLst>
                <a:ext uri="{63B3BB69-23CF-44E3-9099-C40C66FF867C}">
                  <a14:compatExt spid="_x0000_s1192"/>
                </a:ext>
              </a:extLst>
            </xdr:cNvPr>
            <xdr:cNvSpPr/>
          </xdr:nvSpPr>
          <xdr:spPr bwMode="auto">
            <a:xfrm>
              <a:off x="0" y="0"/>
              <a:ext cx="0" cy="0"/>
            </a:xfrm>
            <a:prstGeom prst="rect">
              <a:avLst/>
            </a:prstGeom>
            <a:noFill/>
            <a:ln w="9525">
              <a:solidFill>
                <a:srgbClr val="000000" mc:Ignorable="a14" a14:legacySpreadsheetColorIndex="64"/>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647700</xdr:colOff>
          <xdr:row>20</xdr:row>
          <xdr:rowOff>95250</xdr:rowOff>
        </xdr:from>
        <xdr:to>
          <xdr:col>7</xdr:col>
          <xdr:colOff>914400</xdr:colOff>
          <xdr:row>22</xdr:row>
          <xdr:rowOff>66675</xdr:rowOff>
        </xdr:to>
        <xdr:sp macro="" textlink="">
          <xdr:nvSpPr>
            <xdr:cNvPr id="1197" name="Group Box 173" hidden="1">
              <a:extLst>
                <a:ext uri="{63B3BB69-23CF-44E3-9099-C40C66FF867C}">
                  <a14:compatExt spid="_x0000_s11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Mound Percent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21</xdr:row>
          <xdr:rowOff>47625</xdr:rowOff>
        </xdr:from>
        <xdr:to>
          <xdr:col>5</xdr:col>
          <xdr:colOff>85725</xdr:colOff>
          <xdr:row>22</xdr:row>
          <xdr:rowOff>57150</xdr:rowOff>
        </xdr:to>
        <xdr:sp macro="" textlink="">
          <xdr:nvSpPr>
            <xdr:cNvPr id="1198" name="Option Button 174" hidden="1">
              <a:extLst>
                <a:ext uri="{63B3BB69-23CF-44E3-9099-C40C66FF867C}">
                  <a14:compatExt spid="_x0000_s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Mound &lt;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1000125</xdr:colOff>
          <xdr:row>21</xdr:row>
          <xdr:rowOff>38100</xdr:rowOff>
        </xdr:from>
        <xdr:to>
          <xdr:col>5</xdr:col>
          <xdr:colOff>1057275</xdr:colOff>
          <xdr:row>22</xdr:row>
          <xdr:rowOff>57150</xdr:rowOff>
        </xdr:to>
        <xdr:sp macro="" textlink="">
          <xdr:nvSpPr>
            <xdr:cNvPr id="1199" name="Option Button 175" hidden="1">
              <a:extLst>
                <a:ext uri="{63B3BB69-23CF-44E3-9099-C40C66FF867C}">
                  <a14:compatExt spid="_x0000_s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Mound &gt;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21</xdr:row>
          <xdr:rowOff>47625</xdr:rowOff>
        </xdr:from>
        <xdr:to>
          <xdr:col>7</xdr:col>
          <xdr:colOff>190500</xdr:colOff>
          <xdr:row>22</xdr:row>
          <xdr:rowOff>57150</xdr:rowOff>
        </xdr:to>
        <xdr:sp macro="" textlink="">
          <xdr:nvSpPr>
            <xdr:cNvPr id="1200" name="Option Button 176" hidden="1">
              <a:extLst>
                <a:ext uri="{63B3BB69-23CF-44E3-9099-C40C66FF867C}">
                  <a14:compatExt spid="_x0000_s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Trench or Bed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21</xdr:row>
          <xdr:rowOff>47625</xdr:rowOff>
        </xdr:from>
        <xdr:to>
          <xdr:col>7</xdr:col>
          <xdr:colOff>866775</xdr:colOff>
          <xdr:row>22</xdr:row>
          <xdr:rowOff>57150</xdr:rowOff>
        </xdr:to>
        <xdr:sp macro="" textlink="">
          <xdr:nvSpPr>
            <xdr:cNvPr id="1206" name="Option Button 182" hidden="1">
              <a:extLst>
                <a:ext uri="{63B3BB69-23CF-44E3-9099-C40C66FF867C}">
                  <a14:compatExt spid="_x0000_s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At Grade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xdr:row>
          <xdr:rowOff>190500</xdr:rowOff>
        </xdr:from>
        <xdr:to>
          <xdr:col>7</xdr:col>
          <xdr:colOff>619125</xdr:colOff>
          <xdr:row>18</xdr:row>
          <xdr:rowOff>38100</xdr:rowOff>
        </xdr:to>
        <xdr:sp macro="" textlink="">
          <xdr:nvSpPr>
            <xdr:cNvPr id="1029" name="Check Box 5" hidden="1">
              <a:extLst>
                <a:ext uri="{63B3BB69-23CF-44E3-9099-C40C66FF867C}">
                  <a14:compatExt spid="_x0000_s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Establishment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495300</xdr:colOff>
          <xdr:row>16</xdr:row>
          <xdr:rowOff>114300</xdr:rowOff>
        </xdr:from>
        <xdr:to>
          <xdr:col>10</xdr:col>
          <xdr:colOff>457200</xdr:colOff>
          <xdr:row>18</xdr:row>
          <xdr:rowOff>104775</xdr:rowOff>
        </xdr:to>
        <xdr:sp macro="" textlink="">
          <xdr:nvSpPr>
            <xdr:cNvPr id="1025" name="Group Box 1" hidden="1">
              <a:extLst>
                <a:ext uri="{63B3BB69-23CF-44E3-9099-C40C66FF867C}">
                  <a14:compatExt spid="_x0000_s10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Location Information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733425</xdr:colOff>
          <xdr:row>16</xdr:row>
          <xdr:rowOff>209550</xdr:rowOff>
        </xdr:from>
        <xdr:to>
          <xdr:col>4</xdr:col>
          <xdr:colOff>590550</xdr:colOff>
          <xdr:row>18</xdr:row>
          <xdr:rowOff>28575</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Shoreland</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466725</xdr:colOff>
          <xdr:row>16</xdr:row>
          <xdr:rowOff>200025</xdr:rowOff>
        </xdr:from>
        <xdr:to>
          <xdr:col>5</xdr:col>
          <xdr:colOff>381000</xdr:colOff>
          <xdr:row>18</xdr:row>
          <xdr:rowOff>28575</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 Wellhead Protection Area</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16</xdr:row>
          <xdr:rowOff>190500</xdr:rowOff>
        </xdr:from>
        <xdr:to>
          <xdr:col>5</xdr:col>
          <xdr:colOff>1104900</xdr:colOff>
          <xdr:row>18</xdr:row>
          <xdr:rowOff>38100</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Dwelling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704850</xdr:colOff>
          <xdr:row>16</xdr:row>
          <xdr:rowOff>190500</xdr:rowOff>
        </xdr:from>
        <xdr:to>
          <xdr:col>9</xdr:col>
          <xdr:colOff>47625</xdr:colOff>
          <xdr:row>18</xdr:row>
          <xdr:rowOff>19050</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Replacement System</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180975</xdr:colOff>
          <xdr:row>16</xdr:row>
          <xdr:rowOff>180975</xdr:rowOff>
        </xdr:from>
        <xdr:to>
          <xdr:col>10</xdr:col>
          <xdr:colOff>247650</xdr:colOff>
          <xdr:row>18</xdr:row>
          <xdr:rowOff>19050</xdr:rowOff>
        </xdr:to>
        <xdr:sp macro="" textlink="">
          <xdr:nvSpPr>
            <xdr:cNvPr id="1031" name="Check Box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New Home Construction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47</xdr:row>
          <xdr:rowOff>209550</xdr:rowOff>
        </xdr:from>
        <xdr:to>
          <xdr:col>5</xdr:col>
          <xdr:colOff>838200</xdr:colOff>
          <xdr:row>49</xdr:row>
          <xdr:rowOff>85725</xdr:rowOff>
        </xdr:to>
        <xdr:sp macro="" textlink="">
          <xdr:nvSpPr>
            <xdr:cNvPr id="1082" name="Group Box 58" hidden="1">
              <a:extLst>
                <a:ext uri="{63B3BB69-23CF-44E3-9099-C40C66FF867C}">
                  <a14:compatExt spid="_x0000_s10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Observation Type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48</xdr:row>
          <xdr:rowOff>104775</xdr:rowOff>
        </xdr:from>
        <xdr:to>
          <xdr:col>4</xdr:col>
          <xdr:colOff>762000</xdr:colOff>
          <xdr:row>49</xdr:row>
          <xdr:rowOff>28575</xdr:rowOff>
        </xdr:to>
        <xdr:sp macro="" textlink="">
          <xdr:nvSpPr>
            <xdr:cNvPr id="1083" name="Option Button 59" hidden="1">
              <a:extLst>
                <a:ext uri="{63B3BB69-23CF-44E3-9099-C40C66FF867C}">
                  <a14:compatExt spid="_x0000_s1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676275</xdr:colOff>
          <xdr:row>48</xdr:row>
          <xdr:rowOff>104775</xdr:rowOff>
        </xdr:from>
        <xdr:to>
          <xdr:col>5</xdr:col>
          <xdr:colOff>209550</xdr:colOff>
          <xdr:row>49</xdr:row>
          <xdr:rowOff>28575</xdr:rowOff>
        </xdr:to>
        <xdr:sp macro="" textlink="">
          <xdr:nvSpPr>
            <xdr:cNvPr id="1085" name="Option Button 61" hidden="1">
              <a:extLst>
                <a:ext uri="{63B3BB69-23CF-44E3-9099-C40C66FF867C}">
                  <a14:compatExt spid="_x0000_s1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Probe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180975</xdr:colOff>
          <xdr:row>48</xdr:row>
          <xdr:rowOff>104775</xdr:rowOff>
        </xdr:from>
        <xdr:to>
          <xdr:col>5</xdr:col>
          <xdr:colOff>819150</xdr:colOff>
          <xdr:row>49</xdr:row>
          <xdr:rowOff>28575</xdr:rowOff>
        </xdr:to>
        <xdr:sp macro="" textlink="">
          <xdr:nvSpPr>
            <xdr:cNvPr id="1088" name="Option Button 64" hidden="1">
              <a:extLst>
                <a:ext uri="{63B3BB69-23CF-44E3-9099-C40C66FF867C}">
                  <a14:compatExt spid="_x0000_s1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Boring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50</xdr:row>
          <xdr:rowOff>0</xdr:rowOff>
        </xdr:from>
        <xdr:to>
          <xdr:col>9</xdr:col>
          <xdr:colOff>0</xdr:colOff>
          <xdr:row>51</xdr:row>
          <xdr:rowOff>76200</xdr:rowOff>
        </xdr:to>
        <xdr:sp macro="" textlink="">
          <xdr:nvSpPr>
            <xdr:cNvPr id="1090" name="Group Box 66" hidden="1">
              <a:extLst>
                <a:ext uri="{63B3BB69-23CF-44E3-9099-C40C66FF867C}">
                  <a14:compatExt spid="_x0000_s10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Parent Material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50</xdr:row>
          <xdr:rowOff>85725</xdr:rowOff>
        </xdr:from>
        <xdr:to>
          <xdr:col>4</xdr:col>
          <xdr:colOff>704850</xdr:colOff>
          <xdr:row>50</xdr:row>
          <xdr:rowOff>209550</xdr:rowOff>
        </xdr:to>
        <xdr:sp macro="" textlink="">
          <xdr:nvSpPr>
            <xdr:cNvPr id="1106" name="Option Button 82" hidden="1">
              <a:extLst>
                <a:ext uri="{63B3BB69-23CF-44E3-9099-C40C66FF867C}">
                  <a14:compatExt spid="_x0000_s1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647700</xdr:colOff>
          <xdr:row>50</xdr:row>
          <xdr:rowOff>85725</xdr:rowOff>
        </xdr:from>
        <xdr:to>
          <xdr:col>6</xdr:col>
          <xdr:colOff>171450</xdr:colOff>
          <xdr:row>50</xdr:row>
          <xdr:rowOff>209550</xdr:rowOff>
        </xdr:to>
        <xdr:sp macro="" textlink="">
          <xdr:nvSpPr>
            <xdr:cNvPr id="1107" name="Option Button 83" hidden="1">
              <a:extLst>
                <a:ext uri="{63B3BB69-23CF-44E3-9099-C40C66FF867C}">
                  <a14:compatExt spid="_x0000_s1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219075</xdr:colOff>
          <xdr:row>50</xdr:row>
          <xdr:rowOff>95250</xdr:rowOff>
        </xdr:from>
        <xdr:to>
          <xdr:col>7</xdr:col>
          <xdr:colOff>657225</xdr:colOff>
          <xdr:row>51</xdr:row>
          <xdr:rowOff>0</xdr:rowOff>
        </xdr:to>
        <xdr:sp macro="" textlink="">
          <xdr:nvSpPr>
            <xdr:cNvPr id="1108" name="Option Button 84" hidden="1">
              <a:extLst>
                <a:ext uri="{63B3BB69-23CF-44E3-9099-C40C66FF867C}">
                  <a14:compatExt spid="_x0000_s1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866775</xdr:colOff>
          <xdr:row>50</xdr:row>
          <xdr:rowOff>95250</xdr:rowOff>
        </xdr:from>
        <xdr:to>
          <xdr:col>8</xdr:col>
          <xdr:colOff>390525</xdr:colOff>
          <xdr:row>51</xdr:row>
          <xdr:rowOff>0</xdr:rowOff>
        </xdr:to>
        <xdr:sp macro="" textlink="">
          <xdr:nvSpPr>
            <xdr:cNvPr id="1111" name="Option Button 87" hidden="1">
              <a:extLst>
                <a:ext uri="{63B3BB69-23CF-44E3-9099-C40C66FF867C}">
                  <a14:compatExt spid="_x0000_s1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838200</xdr:colOff>
          <xdr:row>50</xdr:row>
          <xdr:rowOff>57150</xdr:rowOff>
        </xdr:from>
        <xdr:to>
          <xdr:col>5</xdr:col>
          <xdr:colOff>581025</xdr:colOff>
          <xdr:row>51</xdr:row>
          <xdr:rowOff>57150</xdr:rowOff>
        </xdr:to>
        <xdr:sp macro="" textlink="">
          <xdr:nvSpPr>
            <xdr:cNvPr id="1109" name="Option Button 85" hidden="1">
              <a:extLst>
                <a:ext uri="{63B3BB69-23CF-44E3-9099-C40C66FF867C}">
                  <a14:compatExt spid="_x0000_s1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133350</xdr:colOff>
          <xdr:row>47</xdr:row>
          <xdr:rowOff>200025</xdr:rowOff>
        </xdr:from>
        <xdr:to>
          <xdr:col>10</xdr:col>
          <xdr:colOff>466725</xdr:colOff>
          <xdr:row>49</xdr:row>
          <xdr:rowOff>38100</xdr:rowOff>
        </xdr:to>
        <xdr:sp macro="" textlink="">
          <xdr:nvSpPr>
            <xdr:cNvPr id="1115" name="Group Box 91" hidden="1">
              <a:extLst>
                <a:ext uri="{63B3BB69-23CF-44E3-9099-C40C66FF867C}">
                  <a14:compatExt spid="_x0000_s11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Vegetation Type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219075</xdr:colOff>
          <xdr:row>48</xdr:row>
          <xdr:rowOff>76200</xdr:rowOff>
        </xdr:from>
        <xdr:to>
          <xdr:col>9</xdr:col>
          <xdr:colOff>457200</xdr:colOff>
          <xdr:row>48</xdr:row>
          <xdr:rowOff>209550</xdr:rowOff>
        </xdr:to>
        <xdr:sp macro="" textlink="">
          <xdr:nvSpPr>
            <xdr:cNvPr id="1116" name="Option Button 92" hidden="1">
              <a:extLst>
                <a:ext uri="{63B3BB69-23CF-44E3-9099-C40C66FF867C}">
                  <a14:compatExt spid="_x0000_s1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Wet</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371475</xdr:colOff>
          <xdr:row>48</xdr:row>
          <xdr:rowOff>76200</xdr:rowOff>
        </xdr:from>
        <xdr:to>
          <xdr:col>9</xdr:col>
          <xdr:colOff>1123950</xdr:colOff>
          <xdr:row>48</xdr:row>
          <xdr:rowOff>209550</xdr:rowOff>
        </xdr:to>
        <xdr:sp macro="" textlink="">
          <xdr:nvSpPr>
            <xdr:cNvPr id="1117" name="Option Button 93" hidden="1">
              <a:extLst>
                <a:ext uri="{63B3BB69-23CF-44E3-9099-C40C66FF867C}">
                  <a14:compatExt spid="_x0000_s1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Dry</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1104900</xdr:colOff>
          <xdr:row>48</xdr:row>
          <xdr:rowOff>76200</xdr:rowOff>
        </xdr:from>
        <xdr:to>
          <xdr:col>10</xdr:col>
          <xdr:colOff>447675</xdr:colOff>
          <xdr:row>48</xdr:row>
          <xdr:rowOff>209550</xdr:rowOff>
        </xdr:to>
        <xdr:sp macro="" textlink="">
          <xdr:nvSpPr>
            <xdr:cNvPr id="1118" name="Option Button 94" hidden="1">
              <a:extLst>
                <a:ext uri="{63B3BB69-23CF-44E3-9099-C40C66FF867C}">
                  <a14:compatExt spid="_x0000_s1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52</xdr:row>
          <xdr:rowOff>28575</xdr:rowOff>
        </xdr:from>
        <xdr:to>
          <xdr:col>9</xdr:col>
          <xdr:colOff>895350</xdr:colOff>
          <xdr:row>53</xdr:row>
          <xdr:rowOff>104775</xdr:rowOff>
        </xdr:to>
        <xdr:sp macro="" textlink="">
          <xdr:nvSpPr>
            <xdr:cNvPr id="1120" name="Group Box 96" hidden="1">
              <a:extLst>
                <a:ext uri="{63B3BB69-23CF-44E3-9099-C40C66FF867C}">
                  <a14:compatExt spid="_x0000_s11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Slope Form</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52</xdr:row>
          <xdr:rowOff>114300</xdr:rowOff>
        </xdr:from>
        <xdr:to>
          <xdr:col>4</xdr:col>
          <xdr:colOff>847725</xdr:colOff>
          <xdr:row>53</xdr:row>
          <xdr:rowOff>19050</xdr:rowOff>
        </xdr:to>
        <xdr:sp macro="" textlink="">
          <xdr:nvSpPr>
            <xdr:cNvPr id="1121" name="Option Button 97" hidden="1">
              <a:extLst>
                <a:ext uri="{63B3BB69-23CF-44E3-9099-C40C66FF867C}">
                  <a14:compatExt spid="_x0000_s1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Summit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990600</xdr:colOff>
          <xdr:row>52</xdr:row>
          <xdr:rowOff>114300</xdr:rowOff>
        </xdr:from>
        <xdr:to>
          <xdr:col>7</xdr:col>
          <xdr:colOff>323850</xdr:colOff>
          <xdr:row>53</xdr:row>
          <xdr:rowOff>19050</xdr:rowOff>
        </xdr:to>
        <xdr:sp macro="" textlink="">
          <xdr:nvSpPr>
            <xdr:cNvPr id="1122" name="Option Button 98" hidden="1">
              <a:extLst>
                <a:ext uri="{63B3BB69-23CF-44E3-9099-C40C66FF867C}">
                  <a14:compatExt spid="_x0000_s1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Back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381000</xdr:colOff>
          <xdr:row>52</xdr:row>
          <xdr:rowOff>123825</xdr:rowOff>
        </xdr:from>
        <xdr:to>
          <xdr:col>7</xdr:col>
          <xdr:colOff>1323975</xdr:colOff>
          <xdr:row>53</xdr:row>
          <xdr:rowOff>28575</xdr:rowOff>
        </xdr:to>
        <xdr:sp macro="" textlink="">
          <xdr:nvSpPr>
            <xdr:cNvPr id="1123" name="Option Button 99" hidden="1">
              <a:extLst>
                <a:ext uri="{63B3BB69-23CF-44E3-9099-C40C66FF867C}">
                  <a14:compatExt spid="_x0000_s1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52</xdr:row>
          <xdr:rowOff>123825</xdr:rowOff>
        </xdr:from>
        <xdr:to>
          <xdr:col>9</xdr:col>
          <xdr:colOff>742950</xdr:colOff>
          <xdr:row>53</xdr:row>
          <xdr:rowOff>28575</xdr:rowOff>
        </xdr:to>
        <xdr:sp macro="" textlink="">
          <xdr:nvSpPr>
            <xdr:cNvPr id="1124" name="Option Button 100" hidden="1">
              <a:extLst>
                <a:ext uri="{63B3BB69-23CF-44E3-9099-C40C66FF867C}">
                  <a14:compatExt spid="_x0000_s1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1028700</xdr:colOff>
          <xdr:row>52</xdr:row>
          <xdr:rowOff>114300</xdr:rowOff>
        </xdr:from>
        <xdr:to>
          <xdr:col>5</xdr:col>
          <xdr:colOff>781050</xdr:colOff>
          <xdr:row>53</xdr:row>
          <xdr:rowOff>19050</xdr:rowOff>
        </xdr:to>
        <xdr:sp macro="" textlink="">
          <xdr:nvSpPr>
            <xdr:cNvPr id="1125" name="Option Button 101" hidden="1">
              <a:extLst>
                <a:ext uri="{63B3BB69-23CF-44E3-9099-C40C66FF867C}">
                  <a14:compatExt spid="_x0000_s1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Shoulder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54</xdr:row>
          <xdr:rowOff>28575</xdr:rowOff>
        </xdr:from>
        <xdr:to>
          <xdr:col>9</xdr:col>
          <xdr:colOff>895350</xdr:colOff>
          <xdr:row>55</xdr:row>
          <xdr:rowOff>142875</xdr:rowOff>
        </xdr:to>
        <xdr:sp macro="" textlink="">
          <xdr:nvSpPr>
            <xdr:cNvPr id="1128" name="Group Box 104" hidden="1">
              <a:extLst>
                <a:ext uri="{63B3BB69-23CF-44E3-9099-C40C66FF867C}">
                  <a14:compatExt spid="_x0000_s1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Drainage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54</xdr:row>
          <xdr:rowOff>133350</xdr:rowOff>
        </xdr:from>
        <xdr:to>
          <xdr:col>4</xdr:col>
          <xdr:colOff>847725</xdr:colOff>
          <xdr:row>55</xdr:row>
          <xdr:rowOff>47625</xdr:rowOff>
        </xdr:to>
        <xdr:sp macro="" textlink="">
          <xdr:nvSpPr>
            <xdr:cNvPr id="1129" name="Option Button 105" hidden="1">
              <a:extLst>
                <a:ext uri="{63B3BB69-23CF-44E3-9099-C40C66FF867C}">
                  <a14:compatExt spid="_x0000_s1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Good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990600</xdr:colOff>
          <xdr:row>54</xdr:row>
          <xdr:rowOff>133350</xdr:rowOff>
        </xdr:from>
        <xdr:to>
          <xdr:col>7</xdr:col>
          <xdr:colOff>323850</xdr:colOff>
          <xdr:row>55</xdr:row>
          <xdr:rowOff>47625</xdr:rowOff>
        </xdr:to>
        <xdr:sp macro="" textlink="">
          <xdr:nvSpPr>
            <xdr:cNvPr id="1130" name="Option Button 106" hidden="1">
              <a:extLst>
                <a:ext uri="{63B3BB69-23CF-44E3-9099-C40C66FF867C}">
                  <a14:compatExt spid="_x0000_s1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Poor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381000</xdr:colOff>
          <xdr:row>54</xdr:row>
          <xdr:rowOff>142875</xdr:rowOff>
        </xdr:from>
        <xdr:to>
          <xdr:col>7</xdr:col>
          <xdr:colOff>1323975</xdr:colOff>
          <xdr:row>55</xdr:row>
          <xdr:rowOff>57150</xdr:rowOff>
        </xdr:to>
        <xdr:sp macro="" textlink="">
          <xdr:nvSpPr>
            <xdr:cNvPr id="1131" name="Option Button 107" hidden="1">
              <a:extLst>
                <a:ext uri="{63B3BB69-23CF-44E3-9099-C40C66FF867C}">
                  <a14:compatExt spid="_x0000_s1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Ponding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54</xdr:row>
          <xdr:rowOff>142875</xdr:rowOff>
        </xdr:from>
        <xdr:to>
          <xdr:col>9</xdr:col>
          <xdr:colOff>742950</xdr:colOff>
          <xdr:row>55</xdr:row>
          <xdr:rowOff>57150</xdr:rowOff>
        </xdr:to>
        <xdr:sp macro="" textlink="">
          <xdr:nvSpPr>
            <xdr:cNvPr id="1132" name="Option Button 108" hidden="1">
              <a:extLst>
                <a:ext uri="{63B3BB69-23CF-44E3-9099-C40C66FF867C}">
                  <a14:compatExt spid="_x0000_s1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Flooding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1028700</xdr:colOff>
          <xdr:row>54</xdr:row>
          <xdr:rowOff>133350</xdr:rowOff>
        </xdr:from>
        <xdr:to>
          <xdr:col>5</xdr:col>
          <xdr:colOff>781050</xdr:colOff>
          <xdr:row>55</xdr:row>
          <xdr:rowOff>47625</xdr:rowOff>
        </xdr:to>
        <xdr:sp macro="" textlink="">
          <xdr:nvSpPr>
            <xdr:cNvPr id="1133" name="Option Button 109" hidden="1">
              <a:extLst>
                <a:ext uri="{63B3BB69-23CF-44E3-9099-C40C66FF867C}">
                  <a14:compatExt spid="_x0000_s1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Fair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133350</xdr:colOff>
          <xdr:row>46</xdr:row>
          <xdr:rowOff>0</xdr:rowOff>
        </xdr:from>
        <xdr:to>
          <xdr:col>9</xdr:col>
          <xdr:colOff>1143000</xdr:colOff>
          <xdr:row>47</xdr:row>
          <xdr:rowOff>38100</xdr:rowOff>
        </xdr:to>
        <xdr:sp macro="" textlink="">
          <xdr:nvSpPr>
            <xdr:cNvPr id="1134" name="Group Box 110" hidden="1">
              <a:extLst>
                <a:ext uri="{63B3BB69-23CF-44E3-9099-C40C66FF867C}">
                  <a14:compatExt spid="_x0000_s11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Unnatural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314325</xdr:colOff>
          <xdr:row>46</xdr:row>
          <xdr:rowOff>76200</xdr:rowOff>
        </xdr:from>
        <xdr:to>
          <xdr:col>9</xdr:col>
          <xdr:colOff>285750</xdr:colOff>
          <xdr:row>47</xdr:row>
          <xdr:rowOff>9525</xdr:rowOff>
        </xdr:to>
        <xdr:sp macro="" textlink="">
          <xdr:nvSpPr>
            <xdr:cNvPr id="1135" name="Option Button 111" hidden="1">
              <a:extLst>
                <a:ext uri="{63B3BB69-23CF-44E3-9099-C40C66FF867C}">
                  <a14:compatExt spid="_x0000_s1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438150</xdr:colOff>
          <xdr:row>46</xdr:row>
          <xdr:rowOff>76200</xdr:rowOff>
        </xdr:from>
        <xdr:to>
          <xdr:col>9</xdr:col>
          <xdr:colOff>933450</xdr:colOff>
          <xdr:row>47</xdr:row>
          <xdr:rowOff>9525</xdr:rowOff>
        </xdr:to>
        <xdr:sp macro="" textlink="">
          <xdr:nvSpPr>
            <xdr:cNvPr id="1136" name="Option Button 112" hidden="1">
              <a:extLst>
                <a:ext uri="{63B3BB69-23CF-44E3-9099-C40C66FF867C}">
                  <a14:compatExt spid="_x0000_s1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65</xdr:row>
          <xdr:rowOff>66675</xdr:rowOff>
        </xdr:from>
        <xdr:to>
          <xdr:col>5</xdr:col>
          <xdr:colOff>180975</xdr:colOff>
          <xdr:row>67</xdr:row>
          <xdr:rowOff>57150</xdr:rowOff>
        </xdr:to>
        <xdr:sp macro="" textlink="">
          <xdr:nvSpPr>
            <xdr:cNvPr id="1144" name="Group Box 120" hidden="1">
              <a:extLst>
                <a:ext uri="{63B3BB69-23CF-44E3-9099-C40C66FF867C}">
                  <a14:compatExt spid="_x0000_s11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Perc Test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114300</xdr:colOff>
          <xdr:row>66</xdr:row>
          <xdr:rowOff>28575</xdr:rowOff>
        </xdr:from>
        <xdr:to>
          <xdr:col>4</xdr:col>
          <xdr:colOff>628650</xdr:colOff>
          <xdr:row>66</xdr:row>
          <xdr:rowOff>180975</xdr:rowOff>
        </xdr:to>
        <xdr:sp macro="" textlink="">
          <xdr:nvSpPr>
            <xdr:cNvPr id="1145" name="Option Button 121" hidden="1">
              <a:extLst>
                <a:ext uri="{63B3BB69-23CF-44E3-9099-C40C66FF867C}">
                  <a14:compatExt spid="_x0000_s1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600075</xdr:colOff>
          <xdr:row>65</xdr:row>
          <xdr:rowOff>114300</xdr:rowOff>
        </xdr:from>
        <xdr:to>
          <xdr:col>5</xdr:col>
          <xdr:colOff>114300</xdr:colOff>
          <xdr:row>67</xdr:row>
          <xdr:rowOff>19050</xdr:rowOff>
        </xdr:to>
        <xdr:sp macro="" textlink="">
          <xdr:nvSpPr>
            <xdr:cNvPr id="1146" name="Option Button 122" hidden="1">
              <a:extLst>
                <a:ext uri="{63B3BB69-23CF-44E3-9099-C40C66FF867C}">
                  <a14:compatExt spid="_x0000_s1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56</xdr:row>
          <xdr:rowOff>57150</xdr:rowOff>
        </xdr:from>
        <xdr:to>
          <xdr:col>5</xdr:col>
          <xdr:colOff>619125</xdr:colOff>
          <xdr:row>57</xdr:row>
          <xdr:rowOff>85725</xdr:rowOff>
        </xdr:to>
        <xdr:sp macro="" textlink="">
          <xdr:nvSpPr>
            <xdr:cNvPr id="1154" name="Group Box 130" hidden="1">
              <a:extLst>
                <a:ext uri="{63B3BB69-23CF-44E3-9099-C40C66FF867C}">
                  <a14:compatExt spid="_x0000_s11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Floodplain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123825</xdr:colOff>
          <xdr:row>56</xdr:row>
          <xdr:rowOff>123825</xdr:rowOff>
        </xdr:from>
        <xdr:to>
          <xdr:col>4</xdr:col>
          <xdr:colOff>561975</xdr:colOff>
          <xdr:row>57</xdr:row>
          <xdr:rowOff>57150</xdr:rowOff>
        </xdr:to>
        <xdr:sp macro="" textlink="">
          <xdr:nvSpPr>
            <xdr:cNvPr id="1155" name="Option Button 131" hidden="1">
              <a:extLst>
                <a:ext uri="{63B3BB69-23CF-44E3-9099-C40C66FF867C}">
                  <a14:compatExt spid="_x0000_s1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56</xdr:row>
          <xdr:rowOff>95250</xdr:rowOff>
        </xdr:from>
        <xdr:to>
          <xdr:col>5</xdr:col>
          <xdr:colOff>228600</xdr:colOff>
          <xdr:row>57</xdr:row>
          <xdr:rowOff>95250</xdr:rowOff>
        </xdr:to>
        <xdr:sp macro="" textlink="">
          <xdr:nvSpPr>
            <xdr:cNvPr id="1156" name="Option Button 132" hidden="1">
              <a:extLst>
                <a:ext uri="{63B3BB69-23CF-44E3-9099-C40C66FF867C}">
                  <a14:compatExt spid="_x0000_s1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1162050</xdr:colOff>
          <xdr:row>35</xdr:row>
          <xdr:rowOff>142875</xdr:rowOff>
        </xdr:from>
        <xdr:to>
          <xdr:col>3</xdr:col>
          <xdr:colOff>200025</xdr:colOff>
          <xdr:row>37</xdr:row>
          <xdr:rowOff>0</xdr:rowOff>
        </xdr:to>
        <xdr:sp macro="" textlink="">
          <xdr:nvSpPr>
            <xdr:cNvPr id="1052" name="Check Box 28" hidden="1">
              <a:extLst>
                <a:ext uri="{63B3BB69-23CF-44E3-9099-C40C66FF867C}">
                  <a14:compatExt spid="_x0000_s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Laundry / Large Tub on 2nd Floor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981075</xdr:colOff>
          <xdr:row>31</xdr:row>
          <xdr:rowOff>152400</xdr:rowOff>
        </xdr:from>
        <xdr:to>
          <xdr:col>9</xdr:col>
          <xdr:colOff>152400</xdr:colOff>
          <xdr:row>42</xdr:row>
          <xdr:rowOff>114300</xdr:rowOff>
        </xdr:to>
        <xdr:sp macro="" textlink="">
          <xdr:nvSpPr>
            <xdr:cNvPr id="1053" name="Group Box 29" hidden="1">
              <a:extLst>
                <a:ext uri="{63B3BB69-23CF-44E3-9099-C40C66FF867C}">
                  <a14:compatExt spid="_x0000_s10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Water Using Devices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1162050</xdr:colOff>
          <xdr:row>32</xdr:row>
          <xdr:rowOff>171450</xdr:rowOff>
        </xdr:from>
        <xdr:to>
          <xdr:col>1</xdr:col>
          <xdr:colOff>1028700</xdr:colOff>
          <xdr:row>34</xdr:row>
          <xdr:rowOff>9525</xdr:rowOff>
        </xdr:to>
        <xdr:sp macro="" textlink="">
          <xdr:nvSpPr>
            <xdr:cNvPr id="1054" name="Check Box 30" hidden="1">
              <a:extLst>
                <a:ext uri="{63B3BB69-23CF-44E3-9099-C40C66FF867C}">
                  <a14:compatExt spid="_x0000_s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Garbage Disposal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1162050</xdr:colOff>
          <xdr:row>34</xdr:row>
          <xdr:rowOff>0</xdr:rowOff>
        </xdr:from>
        <xdr:to>
          <xdr:col>2</xdr:col>
          <xdr:colOff>57150</xdr:colOff>
          <xdr:row>35</xdr:row>
          <xdr:rowOff>9525</xdr:rowOff>
        </xdr:to>
        <xdr:sp macro="" textlink="">
          <xdr:nvSpPr>
            <xdr:cNvPr id="1055" name="Check Box 31" hidden="1">
              <a:extLst>
                <a:ext uri="{63B3BB69-23CF-44E3-9099-C40C66FF867C}">
                  <a14:compatExt spid="_x0000_s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Dishwasher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1162050</xdr:colOff>
          <xdr:row>34</xdr:row>
          <xdr:rowOff>152400</xdr:rowOff>
        </xdr:from>
        <xdr:to>
          <xdr:col>2</xdr:col>
          <xdr:colOff>57150</xdr:colOff>
          <xdr:row>36</xdr:row>
          <xdr:rowOff>19050</xdr:rowOff>
        </xdr:to>
        <xdr:sp macro="" textlink="">
          <xdr:nvSpPr>
            <xdr:cNvPr id="1056" name="Check Box 32" hidden="1">
              <a:extLst>
                <a:ext uri="{63B3BB69-23CF-44E3-9099-C40C66FF867C}">
                  <a14:compatExt spid="_x0000_s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Large Bathtub</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1162050</xdr:colOff>
          <xdr:row>36</xdr:row>
          <xdr:rowOff>142875</xdr:rowOff>
        </xdr:from>
        <xdr:to>
          <xdr:col>2</xdr:col>
          <xdr:colOff>57150</xdr:colOff>
          <xdr:row>37</xdr:row>
          <xdr:rowOff>152400</xdr:rowOff>
        </xdr:to>
        <xdr:sp macro="" textlink="">
          <xdr:nvSpPr>
            <xdr:cNvPr id="1057" name="Check Box 33" hidden="1">
              <a:extLst>
                <a:ext uri="{63B3BB69-23CF-44E3-9099-C40C66FF867C}">
                  <a14:compatExt spid="_x0000_s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Water Softener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1162050</xdr:colOff>
          <xdr:row>37</xdr:row>
          <xdr:rowOff>123825</xdr:rowOff>
        </xdr:from>
        <xdr:to>
          <xdr:col>2</xdr:col>
          <xdr:colOff>57150</xdr:colOff>
          <xdr:row>38</xdr:row>
          <xdr:rowOff>142875</xdr:rowOff>
        </xdr:to>
        <xdr:sp macro="" textlink="">
          <xdr:nvSpPr>
            <xdr:cNvPr id="1058" name="Check Box 34" hidden="1">
              <a:extLst>
                <a:ext uri="{63B3BB69-23CF-44E3-9099-C40C66FF867C}">
                  <a14:compatExt spid="_x0000_s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Sump Pump</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1162050</xdr:colOff>
          <xdr:row>38</xdr:row>
          <xdr:rowOff>114300</xdr:rowOff>
        </xdr:from>
        <xdr:to>
          <xdr:col>2</xdr:col>
          <xdr:colOff>57150</xdr:colOff>
          <xdr:row>39</xdr:row>
          <xdr:rowOff>133350</xdr:rowOff>
        </xdr:to>
        <xdr:sp macro="" textlink="">
          <xdr:nvSpPr>
            <xdr:cNvPr id="1059" name="Check Box 35" hidden="1">
              <a:extLst>
                <a:ext uri="{63B3BB69-23CF-44E3-9099-C40C66FF867C}">
                  <a14:compatExt spid="_x0000_s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 Eff. Furnace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1162050</xdr:colOff>
          <xdr:row>39</xdr:row>
          <xdr:rowOff>104775</xdr:rowOff>
        </xdr:from>
        <xdr:to>
          <xdr:col>2</xdr:col>
          <xdr:colOff>57150</xdr:colOff>
          <xdr:row>40</xdr:row>
          <xdr:rowOff>123825</xdr:rowOff>
        </xdr:to>
        <xdr:sp macro="" textlink="">
          <xdr:nvSpPr>
            <xdr:cNvPr id="1060" name="Check Box 36" hidden="1">
              <a:extLst>
                <a:ext uri="{63B3BB69-23CF-44E3-9099-C40C66FF867C}">
                  <a14:compatExt spid="_x0000_s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Jucuzzi / Hottub</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1162050</xdr:colOff>
          <xdr:row>40</xdr:row>
          <xdr:rowOff>47625</xdr:rowOff>
        </xdr:from>
        <xdr:to>
          <xdr:col>2</xdr:col>
          <xdr:colOff>57150</xdr:colOff>
          <xdr:row>42</xdr:row>
          <xdr:rowOff>9525</xdr:rowOff>
        </xdr:to>
        <xdr:sp macro="" textlink="">
          <xdr:nvSpPr>
            <xdr:cNvPr id="1183" name="Check Box 159" hidden="1">
              <a:extLst>
                <a:ext uri="{63B3BB69-23CF-44E3-9099-C40C66FF867C}">
                  <a14:compatExt spid="_x0000_s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Lift Station (before tank)</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35</xdr:row>
          <xdr:rowOff>257175</xdr:rowOff>
        </xdr:from>
        <xdr:to>
          <xdr:col>2</xdr:col>
          <xdr:colOff>561975</xdr:colOff>
          <xdr:row>40</xdr:row>
          <xdr:rowOff>28575</xdr:rowOff>
        </xdr:to>
        <xdr:sp macro="" textlink="">
          <xdr:nvSpPr>
            <xdr:cNvPr id="5122" name="Group Box 2" hidden="1">
              <a:extLst>
                <a:ext uri="{63B3BB69-23CF-44E3-9099-C40C66FF867C}">
                  <a14:compatExt spid="_x0000_s51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System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35</xdr:row>
          <xdr:rowOff>342900</xdr:rowOff>
        </xdr:from>
        <xdr:to>
          <xdr:col>2</xdr:col>
          <xdr:colOff>495300</xdr:colOff>
          <xdr:row>37</xdr:row>
          <xdr:rowOff>171450</xdr:rowOff>
        </xdr:to>
        <xdr:sp macro="" textlink="">
          <xdr:nvSpPr>
            <xdr:cNvPr id="5123" name="Check Box 3" hidden="1">
              <a:extLst>
                <a:ext uri="{63B3BB69-23CF-44E3-9099-C40C66FF867C}">
                  <a14:compatExt spid="_x0000_s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Pressure Bed (&lt;6% slope)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37</xdr:row>
          <xdr:rowOff>85725</xdr:rowOff>
        </xdr:from>
        <xdr:to>
          <xdr:col>2</xdr:col>
          <xdr:colOff>457200</xdr:colOff>
          <xdr:row>38</xdr:row>
          <xdr:rowOff>104775</xdr:rowOff>
        </xdr:to>
        <xdr:sp macro="" textlink="">
          <xdr:nvSpPr>
            <xdr:cNvPr id="5124" name="Check Box 4" hidden="1">
              <a:extLst>
                <a:ext uri="{63B3BB69-23CF-44E3-9099-C40C66FF867C}">
                  <a14:compatExt spid="_x0000_s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Gravity Bed (&lt;6%  slope)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38</xdr:row>
          <xdr:rowOff>133350</xdr:rowOff>
        </xdr:from>
        <xdr:to>
          <xdr:col>1</xdr:col>
          <xdr:colOff>1133475</xdr:colOff>
          <xdr:row>39</xdr:row>
          <xdr:rowOff>142875</xdr:rowOff>
        </xdr:to>
        <xdr:sp macro="" textlink="">
          <xdr:nvSpPr>
            <xdr:cNvPr id="5125" name="Check Box 5" hidden="1">
              <a:extLst>
                <a:ext uri="{63B3BB69-23CF-44E3-9099-C40C66FF867C}">
                  <a14:compatExt spid="_x0000_s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Trenches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1066800</xdr:colOff>
          <xdr:row>36</xdr:row>
          <xdr:rowOff>0</xdr:rowOff>
        </xdr:from>
        <xdr:to>
          <xdr:col>7</xdr:col>
          <xdr:colOff>57150</xdr:colOff>
          <xdr:row>40</xdr:row>
          <xdr:rowOff>28575</xdr:rowOff>
        </xdr:to>
        <xdr:sp macro="" textlink="">
          <xdr:nvSpPr>
            <xdr:cNvPr id="5126" name="Group Box 6" hidden="1">
              <a:extLst>
                <a:ext uri="{63B3BB69-23CF-44E3-9099-C40C66FF867C}">
                  <a14:compatExt spid="_x0000_s51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Distribution Media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36</xdr:row>
          <xdr:rowOff>104775</xdr:rowOff>
        </xdr:from>
        <xdr:to>
          <xdr:col>5</xdr:col>
          <xdr:colOff>238125</xdr:colOff>
          <xdr:row>37</xdr:row>
          <xdr:rowOff>114300</xdr:rowOff>
        </xdr:to>
        <xdr:sp macro="" textlink="">
          <xdr:nvSpPr>
            <xdr:cNvPr id="5127" name="Check Box 7" hidden="1">
              <a:extLst>
                <a:ext uri="{63B3BB69-23CF-44E3-9099-C40C66FF867C}">
                  <a14:compatExt spid="_x0000_s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Rock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37</xdr:row>
          <xdr:rowOff>142875</xdr:rowOff>
        </xdr:from>
        <xdr:to>
          <xdr:col>5</xdr:col>
          <xdr:colOff>238125</xdr:colOff>
          <xdr:row>38</xdr:row>
          <xdr:rowOff>152400</xdr:rowOff>
        </xdr:to>
        <xdr:sp macro="" textlink="">
          <xdr:nvSpPr>
            <xdr:cNvPr id="5128" name="Check Box 8" hidden="1">
              <a:extLst>
                <a:ext uri="{63B3BB69-23CF-44E3-9099-C40C66FF867C}">
                  <a14:compatExt spid="_x0000_s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Chamber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38</xdr:row>
          <xdr:rowOff>180975</xdr:rowOff>
        </xdr:from>
        <xdr:to>
          <xdr:col>5</xdr:col>
          <xdr:colOff>238125</xdr:colOff>
          <xdr:row>39</xdr:row>
          <xdr:rowOff>190500</xdr:rowOff>
        </xdr:to>
        <xdr:sp macro="" textlink="">
          <xdr:nvSpPr>
            <xdr:cNvPr id="5129" name="Check Box 9" hidden="1">
              <a:extLst>
                <a:ext uri="{63B3BB69-23CF-44E3-9099-C40C66FF867C}">
                  <a14:compatExt spid="_x0000_s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35</xdr:row>
          <xdr:rowOff>190500</xdr:rowOff>
        </xdr:from>
        <xdr:to>
          <xdr:col>10</xdr:col>
          <xdr:colOff>9525</xdr:colOff>
          <xdr:row>40</xdr:row>
          <xdr:rowOff>152400</xdr:rowOff>
        </xdr:to>
        <xdr:sp macro="" textlink="">
          <xdr:nvSpPr>
            <xdr:cNvPr id="5130" name="Group Box 10" hidden="1">
              <a:extLst>
                <a:ext uri="{63B3BB69-23CF-44E3-9099-C40C66FF867C}">
                  <a14:compatExt spid="_x0000_s51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Method of Distribution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35</xdr:row>
          <xdr:rowOff>304800</xdr:rowOff>
        </xdr:from>
        <xdr:to>
          <xdr:col>9</xdr:col>
          <xdr:colOff>285750</xdr:colOff>
          <xdr:row>36</xdr:row>
          <xdr:rowOff>133350</xdr:rowOff>
        </xdr:to>
        <xdr:sp macro="" textlink="">
          <xdr:nvSpPr>
            <xdr:cNvPr id="5131" name="Check Box 11" hidden="1">
              <a:extLst>
                <a:ext uri="{63B3BB69-23CF-44E3-9099-C40C66FF867C}">
                  <a14:compatExt spid="_x0000_s5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Pressure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36</xdr:row>
          <xdr:rowOff>133350</xdr:rowOff>
        </xdr:from>
        <xdr:to>
          <xdr:col>9</xdr:col>
          <xdr:colOff>285750</xdr:colOff>
          <xdr:row>37</xdr:row>
          <xdr:rowOff>152400</xdr:rowOff>
        </xdr:to>
        <xdr:sp macro="" textlink="">
          <xdr:nvSpPr>
            <xdr:cNvPr id="5132" name="Check Box 12" hidden="1">
              <a:extLst>
                <a:ext uri="{63B3BB69-23CF-44E3-9099-C40C66FF867C}">
                  <a14:compatExt spid="_x0000_s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Drop Boxes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37</xdr:row>
          <xdr:rowOff>152400</xdr:rowOff>
        </xdr:from>
        <xdr:to>
          <xdr:col>9</xdr:col>
          <xdr:colOff>714375</xdr:colOff>
          <xdr:row>38</xdr:row>
          <xdr:rowOff>171450</xdr:rowOff>
        </xdr:to>
        <xdr:sp macro="" textlink="">
          <xdr:nvSpPr>
            <xdr:cNvPr id="5133" name="Check Box 13" hidden="1">
              <a:extLst>
                <a:ext uri="{63B3BB69-23CF-44E3-9099-C40C66FF867C}">
                  <a14:compatExt spid="_x0000_s5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Dist. Box (&lt;3% slope)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38</xdr:row>
          <xdr:rowOff>171450</xdr:rowOff>
        </xdr:from>
        <xdr:to>
          <xdr:col>9</xdr:col>
          <xdr:colOff>295275</xdr:colOff>
          <xdr:row>39</xdr:row>
          <xdr:rowOff>190500</xdr:rowOff>
        </xdr:to>
        <xdr:sp macro="" textlink="">
          <xdr:nvSpPr>
            <xdr:cNvPr id="5134" name="Check Box 14" hidden="1">
              <a:extLst>
                <a:ext uri="{63B3BB69-23CF-44E3-9099-C40C66FF867C}">
                  <a14:compatExt spid="_x0000_s5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 :</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15</xdr:col>
      <xdr:colOff>95250</xdr:colOff>
      <xdr:row>13</xdr:row>
      <xdr:rowOff>123825</xdr:rowOff>
    </xdr:from>
    <xdr:to>
      <xdr:col>15</xdr:col>
      <xdr:colOff>161925</xdr:colOff>
      <xdr:row>13</xdr:row>
      <xdr:rowOff>123825</xdr:rowOff>
    </xdr:to>
    <xdr:sp macro="" textlink="">
      <xdr:nvSpPr>
        <xdr:cNvPr id="2" name="Line 8"/>
        <xdr:cNvSpPr>
          <a:spLocks noChangeShapeType="1"/>
        </xdr:cNvSpPr>
      </xdr:nvSpPr>
      <xdr:spPr bwMode="auto">
        <a:xfrm>
          <a:off x="8629650" y="9772650"/>
          <a:ext cx="66675" cy="0"/>
        </a:xfrm>
        <a:prstGeom prst="line">
          <a:avLst/>
        </a:prstGeom>
        <a:noFill/>
        <a:ln w="9525">
          <a:solidFill>
            <a:srgbClr val="000000"/>
          </a:solidFill>
          <a:round/>
          <a:headEnd/>
          <a:tailEnd/>
        </a:ln>
      </xdr:spPr>
    </xdr:sp>
    <xdr:clientData/>
  </xdr:twoCellAnchor>
  <xdr:twoCellAnchor>
    <xdr:from>
      <xdr:col>14</xdr:col>
      <xdr:colOff>276225</xdr:colOff>
      <xdr:row>17</xdr:row>
      <xdr:rowOff>38100</xdr:rowOff>
    </xdr:from>
    <xdr:to>
      <xdr:col>14</xdr:col>
      <xdr:colOff>276225</xdr:colOff>
      <xdr:row>20</xdr:row>
      <xdr:rowOff>171450</xdr:rowOff>
    </xdr:to>
    <xdr:sp macro="" textlink="">
      <xdr:nvSpPr>
        <xdr:cNvPr id="3" name="Line 11"/>
        <xdr:cNvSpPr>
          <a:spLocks noChangeShapeType="1"/>
        </xdr:cNvSpPr>
      </xdr:nvSpPr>
      <xdr:spPr bwMode="auto">
        <a:xfrm>
          <a:off x="14135100" y="17040225"/>
          <a:ext cx="0" cy="685800"/>
        </a:xfrm>
        <a:prstGeom prst="line">
          <a:avLst/>
        </a:prstGeom>
        <a:noFill/>
        <a:ln w="9525">
          <a:solidFill>
            <a:srgbClr val="000000"/>
          </a:solidFill>
          <a:prstDash val="sysDot"/>
          <a:round/>
          <a:headEnd/>
          <a:tailEnd/>
        </a:ln>
      </xdr:spPr>
    </xdr:sp>
    <xdr:clientData/>
  </xdr:twoCellAnchor>
  <xdr:twoCellAnchor>
    <xdr:from>
      <xdr:col>18</xdr:col>
      <xdr:colOff>304800</xdr:colOff>
      <xdr:row>16</xdr:row>
      <xdr:rowOff>28575</xdr:rowOff>
    </xdr:from>
    <xdr:to>
      <xdr:col>18</xdr:col>
      <xdr:colOff>390525</xdr:colOff>
      <xdr:row>16</xdr:row>
      <xdr:rowOff>123825</xdr:rowOff>
    </xdr:to>
    <xdr:sp macro="" textlink="">
      <xdr:nvSpPr>
        <xdr:cNvPr id="4" name="Line 21"/>
        <xdr:cNvSpPr>
          <a:spLocks noChangeShapeType="1"/>
        </xdr:cNvSpPr>
      </xdr:nvSpPr>
      <xdr:spPr bwMode="auto">
        <a:xfrm flipH="1">
          <a:off x="16735425" y="16859250"/>
          <a:ext cx="85725" cy="95250"/>
        </a:xfrm>
        <a:prstGeom prst="line">
          <a:avLst/>
        </a:prstGeom>
        <a:noFill/>
        <a:ln w="9525">
          <a:solidFill>
            <a:srgbClr val="000000"/>
          </a:solidFill>
          <a:round/>
          <a:headEnd type="triangle" w="sm" len="sm"/>
          <a:tailEnd type="triangle" w="sm" len="sm"/>
        </a:ln>
      </xdr:spPr>
    </xdr:sp>
    <xdr:clientData/>
  </xdr:twoCellAnchor>
  <xdr:twoCellAnchor>
    <xdr:from>
      <xdr:col>15</xdr:col>
      <xdr:colOff>457200</xdr:colOff>
      <xdr:row>12</xdr:row>
      <xdr:rowOff>123825</xdr:rowOff>
    </xdr:from>
    <xdr:to>
      <xdr:col>15</xdr:col>
      <xdr:colOff>457200</xdr:colOff>
      <xdr:row>13</xdr:row>
      <xdr:rowOff>85725</xdr:rowOff>
    </xdr:to>
    <xdr:sp macro="" textlink="">
      <xdr:nvSpPr>
        <xdr:cNvPr id="5" name="Line 22"/>
        <xdr:cNvSpPr>
          <a:spLocks noChangeShapeType="1"/>
        </xdr:cNvSpPr>
      </xdr:nvSpPr>
      <xdr:spPr bwMode="auto">
        <a:xfrm>
          <a:off x="8991600" y="9610725"/>
          <a:ext cx="0" cy="123825"/>
        </a:xfrm>
        <a:prstGeom prst="line">
          <a:avLst/>
        </a:prstGeom>
        <a:noFill/>
        <a:ln w="9525">
          <a:solidFill>
            <a:srgbClr val="000000"/>
          </a:solidFill>
          <a:round/>
          <a:headEnd type="triangle" w="sm" len="sm"/>
          <a:tailEnd type="triangle" w="sm" len="sm"/>
        </a:ln>
      </xdr:spPr>
    </xdr:sp>
    <xdr:clientData/>
  </xdr:twoCellAnchor>
  <xdr:twoCellAnchor>
    <xdr:from>
      <xdr:col>11</xdr:col>
      <xdr:colOff>419100</xdr:colOff>
      <xdr:row>10</xdr:row>
      <xdr:rowOff>161925</xdr:rowOff>
    </xdr:from>
    <xdr:to>
      <xdr:col>20</xdr:col>
      <xdr:colOff>600075</xdr:colOff>
      <xdr:row>22</xdr:row>
      <xdr:rowOff>38100</xdr:rowOff>
    </xdr:to>
    <xdr:grpSp>
      <xdr:nvGrpSpPr>
        <xdr:cNvPr id="6" name="Group 46"/>
        <xdr:cNvGrpSpPr>
          <a:grpSpLocks/>
        </xdr:cNvGrpSpPr>
      </xdr:nvGrpSpPr>
      <xdr:grpSpPr bwMode="auto">
        <a:xfrm>
          <a:off x="9383183" y="2035175"/>
          <a:ext cx="6827309" cy="2172758"/>
          <a:chOff x="673" y="1067"/>
          <a:chExt cx="631" cy="220"/>
        </a:xfrm>
      </xdr:grpSpPr>
      <xdr:sp macro="" textlink="">
        <xdr:nvSpPr>
          <xdr:cNvPr id="7" name="Rectangle 3"/>
          <xdr:cNvSpPr>
            <a:spLocks noChangeArrowheads="1"/>
          </xdr:cNvSpPr>
        </xdr:nvSpPr>
        <xdr:spPr bwMode="auto">
          <a:xfrm>
            <a:off x="875" y="1116"/>
            <a:ext cx="153" cy="15"/>
          </a:xfrm>
          <a:prstGeom prst="rect">
            <a:avLst/>
          </a:prstGeom>
          <a:solidFill>
            <a:srgbClr val="FFFFFF"/>
          </a:solidFill>
          <a:ln w="9525">
            <a:solidFill>
              <a:srgbClr val="000000"/>
            </a:solidFill>
            <a:miter lim="800000"/>
            <a:headEnd/>
            <a:tailEnd/>
          </a:ln>
        </xdr:spPr>
      </xdr:sp>
      <xdr:sp macro="" textlink="">
        <xdr:nvSpPr>
          <xdr:cNvPr id="8" name="Rectangle 4"/>
          <xdr:cNvSpPr>
            <a:spLocks noChangeArrowheads="1"/>
          </xdr:cNvSpPr>
        </xdr:nvSpPr>
        <xdr:spPr bwMode="auto">
          <a:xfrm>
            <a:off x="929" y="1067"/>
            <a:ext cx="6" cy="64"/>
          </a:xfrm>
          <a:prstGeom prst="rect">
            <a:avLst/>
          </a:prstGeom>
          <a:solidFill>
            <a:srgbClr val="FFFFFF"/>
          </a:solidFill>
          <a:ln w="9525">
            <a:solidFill>
              <a:srgbClr val="000000"/>
            </a:solidFill>
            <a:miter lim="800000"/>
            <a:headEnd/>
            <a:tailEnd/>
          </a:ln>
        </xdr:spPr>
      </xdr:sp>
      <xdr:sp macro="" textlink="">
        <xdr:nvSpPr>
          <xdr:cNvPr id="9" name="Oval 5"/>
          <xdr:cNvSpPr>
            <a:spLocks noChangeArrowheads="1"/>
          </xdr:cNvSpPr>
        </xdr:nvSpPr>
        <xdr:spPr bwMode="auto">
          <a:xfrm>
            <a:off x="885" y="1122"/>
            <a:ext cx="5" cy="3"/>
          </a:xfrm>
          <a:prstGeom prst="ellipse">
            <a:avLst/>
          </a:prstGeom>
          <a:solidFill>
            <a:srgbClr val="FFFFFF"/>
          </a:solidFill>
          <a:ln w="9525">
            <a:solidFill>
              <a:srgbClr val="000000"/>
            </a:solidFill>
            <a:round/>
            <a:headEnd/>
            <a:tailEnd/>
          </a:ln>
        </xdr:spPr>
      </xdr:sp>
      <xdr:sp macro="" textlink="">
        <xdr:nvSpPr>
          <xdr:cNvPr id="10" name="Oval 6"/>
          <xdr:cNvSpPr>
            <a:spLocks noChangeArrowheads="1"/>
          </xdr:cNvSpPr>
        </xdr:nvSpPr>
        <xdr:spPr bwMode="auto">
          <a:xfrm>
            <a:off x="950" y="1120"/>
            <a:ext cx="6" cy="3"/>
          </a:xfrm>
          <a:prstGeom prst="ellipse">
            <a:avLst/>
          </a:prstGeom>
          <a:solidFill>
            <a:srgbClr val="FFFFFF"/>
          </a:solidFill>
          <a:ln w="9525">
            <a:solidFill>
              <a:srgbClr val="000000"/>
            </a:solidFill>
            <a:round/>
            <a:headEnd/>
            <a:tailEnd/>
          </a:ln>
        </xdr:spPr>
      </xdr:sp>
      <xdr:sp macro="" textlink="">
        <xdr:nvSpPr>
          <xdr:cNvPr id="11" name="Oval 7"/>
          <xdr:cNvSpPr>
            <a:spLocks noChangeArrowheads="1"/>
          </xdr:cNvSpPr>
        </xdr:nvSpPr>
        <xdr:spPr bwMode="auto">
          <a:xfrm>
            <a:off x="1014" y="1120"/>
            <a:ext cx="5" cy="3"/>
          </a:xfrm>
          <a:prstGeom prst="ellipse">
            <a:avLst/>
          </a:prstGeom>
          <a:solidFill>
            <a:srgbClr val="FFFFFF"/>
          </a:solidFill>
          <a:ln w="9525">
            <a:solidFill>
              <a:srgbClr val="000000"/>
            </a:solidFill>
            <a:round/>
            <a:headEnd/>
            <a:tailEnd/>
          </a:ln>
        </xdr:spPr>
      </xdr:sp>
      <xdr:sp macro="" textlink="">
        <xdr:nvSpPr>
          <xdr:cNvPr id="12" name="Line 9"/>
          <xdr:cNvSpPr>
            <a:spLocks noChangeShapeType="1"/>
          </xdr:cNvSpPr>
        </xdr:nvSpPr>
        <xdr:spPr bwMode="auto">
          <a:xfrm>
            <a:off x="875" y="1131"/>
            <a:ext cx="0" cy="72"/>
          </a:xfrm>
          <a:prstGeom prst="line">
            <a:avLst/>
          </a:prstGeom>
          <a:noFill/>
          <a:ln w="9525">
            <a:solidFill>
              <a:srgbClr val="000000"/>
            </a:solidFill>
            <a:round/>
            <a:headEnd type="triangle" w="sm" len="sm"/>
            <a:tailEnd type="triangle" w="sm" len="sm"/>
          </a:ln>
        </xdr:spPr>
      </xdr:sp>
      <xdr:sp macro="" textlink="">
        <xdr:nvSpPr>
          <xdr:cNvPr id="13" name="Line 10"/>
          <xdr:cNvSpPr>
            <a:spLocks noChangeShapeType="1"/>
          </xdr:cNvSpPr>
        </xdr:nvSpPr>
        <xdr:spPr bwMode="auto">
          <a:xfrm>
            <a:off x="702" y="1202"/>
            <a:ext cx="1" cy="59"/>
          </a:xfrm>
          <a:prstGeom prst="line">
            <a:avLst/>
          </a:prstGeom>
          <a:noFill/>
          <a:ln w="9525">
            <a:solidFill>
              <a:srgbClr val="000000"/>
            </a:solidFill>
            <a:prstDash val="sysDot"/>
            <a:round/>
            <a:headEnd/>
            <a:tailEnd/>
          </a:ln>
        </xdr:spPr>
      </xdr:sp>
      <xdr:sp macro="" textlink="">
        <xdr:nvSpPr>
          <xdr:cNvPr id="14" name="Line 12"/>
          <xdr:cNvSpPr>
            <a:spLocks noChangeShapeType="1"/>
          </xdr:cNvSpPr>
        </xdr:nvSpPr>
        <xdr:spPr bwMode="auto">
          <a:xfrm>
            <a:off x="1028" y="1193"/>
            <a:ext cx="1" cy="69"/>
          </a:xfrm>
          <a:prstGeom prst="line">
            <a:avLst/>
          </a:prstGeom>
          <a:noFill/>
          <a:ln w="9525">
            <a:solidFill>
              <a:srgbClr val="000000"/>
            </a:solidFill>
            <a:prstDash val="sysDot"/>
            <a:round/>
            <a:headEnd/>
            <a:tailEnd/>
          </a:ln>
        </xdr:spPr>
      </xdr:sp>
      <xdr:sp macro="" textlink="">
        <xdr:nvSpPr>
          <xdr:cNvPr id="15" name="Line 13"/>
          <xdr:cNvSpPr>
            <a:spLocks noChangeShapeType="1"/>
          </xdr:cNvSpPr>
        </xdr:nvSpPr>
        <xdr:spPr bwMode="auto">
          <a:xfrm>
            <a:off x="1196" y="1205"/>
            <a:ext cx="0" cy="82"/>
          </a:xfrm>
          <a:prstGeom prst="line">
            <a:avLst/>
          </a:prstGeom>
          <a:noFill/>
          <a:ln w="9525">
            <a:solidFill>
              <a:srgbClr val="000000"/>
            </a:solidFill>
            <a:prstDash val="sysDot"/>
            <a:round/>
            <a:headEnd/>
            <a:tailEnd/>
          </a:ln>
        </xdr:spPr>
      </xdr:sp>
      <xdr:sp macro="" textlink="">
        <xdr:nvSpPr>
          <xdr:cNvPr id="16" name="Line 14"/>
          <xdr:cNvSpPr>
            <a:spLocks noChangeShapeType="1"/>
          </xdr:cNvSpPr>
        </xdr:nvSpPr>
        <xdr:spPr bwMode="auto">
          <a:xfrm>
            <a:off x="1212" y="1203"/>
            <a:ext cx="1" cy="58"/>
          </a:xfrm>
          <a:prstGeom prst="line">
            <a:avLst/>
          </a:prstGeom>
          <a:noFill/>
          <a:ln w="9525">
            <a:solidFill>
              <a:srgbClr val="000000"/>
            </a:solidFill>
            <a:prstDash val="sysDot"/>
            <a:round/>
            <a:headEnd/>
            <a:tailEnd/>
          </a:ln>
        </xdr:spPr>
      </xdr:sp>
      <xdr:sp macro="" textlink="">
        <xdr:nvSpPr>
          <xdr:cNvPr id="17" name="Freeform 15"/>
          <xdr:cNvSpPr>
            <a:spLocks/>
          </xdr:cNvSpPr>
        </xdr:nvSpPr>
        <xdr:spPr bwMode="auto">
          <a:xfrm>
            <a:off x="1028" y="1116"/>
            <a:ext cx="168" cy="87"/>
          </a:xfrm>
          <a:custGeom>
            <a:avLst/>
            <a:gdLst>
              <a:gd name="T0" fmla="*/ 0 w 184"/>
              <a:gd name="T1" fmla="*/ 0 h 70"/>
              <a:gd name="T2" fmla="*/ 22 w 184"/>
              <a:gd name="T3" fmla="*/ 5 h 70"/>
              <a:gd name="T4" fmla="*/ 85 w 184"/>
              <a:gd name="T5" fmla="*/ 26 h 70"/>
              <a:gd name="T6" fmla="*/ 184 w 184"/>
              <a:gd name="T7" fmla="*/ 70 h 70"/>
              <a:gd name="T8" fmla="*/ 0 60000 65536"/>
              <a:gd name="T9" fmla="*/ 0 60000 65536"/>
              <a:gd name="T10" fmla="*/ 0 60000 65536"/>
              <a:gd name="T11" fmla="*/ 0 60000 65536"/>
              <a:gd name="T12" fmla="*/ 0 w 184"/>
              <a:gd name="T13" fmla="*/ 0 h 70"/>
              <a:gd name="T14" fmla="*/ 184 w 184"/>
              <a:gd name="T15" fmla="*/ 70 h 70"/>
            </a:gdLst>
            <a:ahLst/>
            <a:cxnLst>
              <a:cxn ang="T8">
                <a:pos x="T0" y="T1"/>
              </a:cxn>
              <a:cxn ang="T9">
                <a:pos x="T2" y="T3"/>
              </a:cxn>
              <a:cxn ang="T10">
                <a:pos x="T4" y="T5"/>
              </a:cxn>
              <a:cxn ang="T11">
                <a:pos x="T6" y="T7"/>
              </a:cxn>
            </a:cxnLst>
            <a:rect l="T12" t="T13" r="T14" b="T15"/>
            <a:pathLst>
              <a:path w="184" h="70">
                <a:moveTo>
                  <a:pt x="0" y="0"/>
                </a:moveTo>
                <a:cubicBezTo>
                  <a:pt x="4" y="0"/>
                  <a:pt x="8" y="1"/>
                  <a:pt x="22" y="5"/>
                </a:cubicBezTo>
                <a:cubicBezTo>
                  <a:pt x="36" y="9"/>
                  <a:pt x="58" y="15"/>
                  <a:pt x="85" y="26"/>
                </a:cubicBezTo>
                <a:cubicBezTo>
                  <a:pt x="112" y="37"/>
                  <a:pt x="167" y="63"/>
                  <a:pt x="184" y="70"/>
                </a:cubicBezTo>
              </a:path>
            </a:pathLst>
          </a:custGeom>
          <a:noFill/>
          <a:ln w="9525">
            <a:solidFill>
              <a:srgbClr val="000000"/>
            </a:solidFill>
            <a:round/>
            <a:headEnd/>
            <a:tailEnd/>
          </a:ln>
        </xdr:spPr>
      </xdr:sp>
      <xdr:sp macro="" textlink="">
        <xdr:nvSpPr>
          <xdr:cNvPr id="18" name="Line 16"/>
          <xdr:cNvSpPr>
            <a:spLocks noChangeShapeType="1"/>
          </xdr:cNvSpPr>
        </xdr:nvSpPr>
        <xdr:spPr bwMode="auto">
          <a:xfrm>
            <a:off x="874" y="1261"/>
            <a:ext cx="155" cy="0"/>
          </a:xfrm>
          <a:prstGeom prst="line">
            <a:avLst/>
          </a:prstGeom>
          <a:noFill/>
          <a:ln w="9525">
            <a:solidFill>
              <a:srgbClr val="000000"/>
            </a:solidFill>
            <a:round/>
            <a:headEnd type="triangle" w="sm" len="sm"/>
            <a:tailEnd type="triangle" w="sm" len="sm"/>
          </a:ln>
        </xdr:spPr>
      </xdr:sp>
      <xdr:sp macro="" textlink="">
        <xdr:nvSpPr>
          <xdr:cNvPr id="19" name="Line 17"/>
          <xdr:cNvSpPr>
            <a:spLocks noChangeShapeType="1"/>
          </xdr:cNvSpPr>
        </xdr:nvSpPr>
        <xdr:spPr bwMode="auto">
          <a:xfrm>
            <a:off x="1028" y="1261"/>
            <a:ext cx="186" cy="0"/>
          </a:xfrm>
          <a:prstGeom prst="line">
            <a:avLst/>
          </a:prstGeom>
          <a:noFill/>
          <a:ln w="9525">
            <a:solidFill>
              <a:srgbClr val="000000"/>
            </a:solidFill>
            <a:round/>
            <a:headEnd type="triangle" w="sm" len="sm"/>
            <a:tailEnd type="triangle" w="sm" len="sm"/>
          </a:ln>
        </xdr:spPr>
      </xdr:sp>
      <xdr:sp macro="" textlink="">
        <xdr:nvSpPr>
          <xdr:cNvPr id="20" name="Line 18"/>
          <xdr:cNvSpPr>
            <a:spLocks noChangeShapeType="1"/>
          </xdr:cNvSpPr>
        </xdr:nvSpPr>
        <xdr:spPr bwMode="auto">
          <a:xfrm flipH="1">
            <a:off x="704" y="1261"/>
            <a:ext cx="171" cy="0"/>
          </a:xfrm>
          <a:prstGeom prst="line">
            <a:avLst/>
          </a:prstGeom>
          <a:noFill/>
          <a:ln w="9525">
            <a:solidFill>
              <a:srgbClr val="000000"/>
            </a:solidFill>
            <a:round/>
            <a:headEnd type="triangle" w="sm" len="sm"/>
            <a:tailEnd type="triangle" w="sm" len="sm"/>
          </a:ln>
        </xdr:spPr>
      </xdr:sp>
      <xdr:sp macro="" textlink="">
        <xdr:nvSpPr>
          <xdr:cNvPr id="21" name="Line 19"/>
          <xdr:cNvSpPr>
            <a:spLocks noChangeShapeType="1"/>
          </xdr:cNvSpPr>
        </xdr:nvSpPr>
        <xdr:spPr bwMode="auto">
          <a:xfrm>
            <a:off x="724" y="1286"/>
            <a:ext cx="474" cy="0"/>
          </a:xfrm>
          <a:prstGeom prst="line">
            <a:avLst/>
          </a:prstGeom>
          <a:noFill/>
          <a:ln w="9525">
            <a:solidFill>
              <a:srgbClr val="000000"/>
            </a:solidFill>
            <a:round/>
            <a:headEnd type="triangle" w="sm" len="sm"/>
            <a:tailEnd type="triangle" w="sm" len="sm"/>
          </a:ln>
        </xdr:spPr>
      </xdr:sp>
      <xdr:sp macro="" textlink="">
        <xdr:nvSpPr>
          <xdr:cNvPr id="22" name="Line 20"/>
          <xdr:cNvSpPr>
            <a:spLocks noChangeShapeType="1"/>
          </xdr:cNvSpPr>
        </xdr:nvSpPr>
        <xdr:spPr bwMode="auto">
          <a:xfrm>
            <a:off x="875" y="1203"/>
            <a:ext cx="0" cy="38"/>
          </a:xfrm>
          <a:prstGeom prst="line">
            <a:avLst/>
          </a:prstGeom>
          <a:noFill/>
          <a:ln w="9525">
            <a:solidFill>
              <a:srgbClr val="000000"/>
            </a:solidFill>
            <a:round/>
            <a:headEnd type="triangle" w="sm" len="sm"/>
            <a:tailEnd type="triangle" w="sm" len="sm"/>
          </a:ln>
        </xdr:spPr>
      </xdr:sp>
      <xdr:sp macro="" textlink="">
        <xdr:nvSpPr>
          <xdr:cNvPr id="23" name="Line 24"/>
          <xdr:cNvSpPr>
            <a:spLocks noChangeShapeType="1"/>
          </xdr:cNvSpPr>
        </xdr:nvSpPr>
        <xdr:spPr bwMode="auto">
          <a:xfrm>
            <a:off x="673" y="1202"/>
            <a:ext cx="626" cy="1"/>
          </a:xfrm>
          <a:prstGeom prst="line">
            <a:avLst/>
          </a:prstGeom>
          <a:noFill/>
          <a:ln w="9525">
            <a:solidFill>
              <a:srgbClr val="000000"/>
            </a:solidFill>
            <a:round/>
            <a:headEnd/>
            <a:tailEnd/>
          </a:ln>
        </xdr:spPr>
      </xdr:sp>
      <xdr:sp macro="" textlink="">
        <xdr:nvSpPr>
          <xdr:cNvPr id="24" name="Freeform 25"/>
          <xdr:cNvSpPr>
            <a:spLocks/>
          </xdr:cNvSpPr>
        </xdr:nvSpPr>
        <xdr:spPr bwMode="auto">
          <a:xfrm>
            <a:off x="700" y="1098"/>
            <a:ext cx="513" cy="105"/>
          </a:xfrm>
          <a:custGeom>
            <a:avLst/>
            <a:gdLst>
              <a:gd name="T0" fmla="*/ 0 w 392"/>
              <a:gd name="T1" fmla="*/ 71 h 72"/>
              <a:gd name="T2" fmla="*/ 100 w 392"/>
              <a:gd name="T3" fmla="*/ 15 h 72"/>
              <a:gd name="T4" fmla="*/ 190 w 392"/>
              <a:gd name="T5" fmla="*/ 2 h 72"/>
              <a:gd name="T6" fmla="*/ 276 w 392"/>
              <a:gd name="T7" fmla="*/ 12 h 72"/>
              <a:gd name="T8" fmla="*/ 392 w 392"/>
              <a:gd name="T9" fmla="*/ 72 h 72"/>
              <a:gd name="T10" fmla="*/ 0 60000 65536"/>
              <a:gd name="T11" fmla="*/ 0 60000 65536"/>
              <a:gd name="T12" fmla="*/ 0 60000 65536"/>
              <a:gd name="T13" fmla="*/ 0 60000 65536"/>
              <a:gd name="T14" fmla="*/ 0 60000 65536"/>
              <a:gd name="T15" fmla="*/ 0 w 392"/>
              <a:gd name="T16" fmla="*/ 0 h 72"/>
              <a:gd name="T17" fmla="*/ 392 w 392"/>
              <a:gd name="T18" fmla="*/ 72 h 72"/>
            </a:gdLst>
            <a:ahLst/>
            <a:cxnLst>
              <a:cxn ang="T10">
                <a:pos x="T0" y="T1"/>
              </a:cxn>
              <a:cxn ang="T11">
                <a:pos x="T2" y="T3"/>
              </a:cxn>
              <a:cxn ang="T12">
                <a:pos x="T4" y="T5"/>
              </a:cxn>
              <a:cxn ang="T13">
                <a:pos x="T6" y="T7"/>
              </a:cxn>
              <a:cxn ang="T14">
                <a:pos x="T8" y="T9"/>
              </a:cxn>
            </a:cxnLst>
            <a:rect l="T15" t="T16" r="T17" b="T18"/>
            <a:pathLst>
              <a:path w="392" h="72">
                <a:moveTo>
                  <a:pt x="0" y="71"/>
                </a:moveTo>
                <a:cubicBezTo>
                  <a:pt x="34" y="49"/>
                  <a:pt x="68" y="27"/>
                  <a:pt x="100" y="15"/>
                </a:cubicBezTo>
                <a:cubicBezTo>
                  <a:pt x="132" y="3"/>
                  <a:pt x="161" y="2"/>
                  <a:pt x="190" y="2"/>
                </a:cubicBezTo>
                <a:cubicBezTo>
                  <a:pt x="219" y="2"/>
                  <a:pt x="242" y="0"/>
                  <a:pt x="276" y="12"/>
                </a:cubicBezTo>
                <a:cubicBezTo>
                  <a:pt x="310" y="24"/>
                  <a:pt x="373" y="62"/>
                  <a:pt x="392" y="72"/>
                </a:cubicBezTo>
              </a:path>
            </a:pathLst>
          </a:custGeom>
          <a:noFill/>
          <a:ln w="9525">
            <a:solidFill>
              <a:srgbClr val="000000"/>
            </a:solidFill>
            <a:round/>
            <a:headEnd/>
            <a:tailEnd/>
          </a:ln>
        </xdr:spPr>
      </xdr:sp>
      <xdr:sp macro="" textlink="">
        <xdr:nvSpPr>
          <xdr:cNvPr id="25" name="Freeform 26"/>
          <xdr:cNvSpPr>
            <a:spLocks/>
          </xdr:cNvSpPr>
        </xdr:nvSpPr>
        <xdr:spPr bwMode="auto">
          <a:xfrm>
            <a:off x="723" y="1116"/>
            <a:ext cx="152" cy="87"/>
          </a:xfrm>
          <a:custGeom>
            <a:avLst/>
            <a:gdLst>
              <a:gd name="T0" fmla="*/ 112 w 112"/>
              <a:gd name="T1" fmla="*/ 0 h 56"/>
              <a:gd name="T2" fmla="*/ 74 w 112"/>
              <a:gd name="T3" fmla="*/ 14 h 56"/>
              <a:gd name="T4" fmla="*/ 0 w 112"/>
              <a:gd name="T5" fmla="*/ 56 h 56"/>
              <a:gd name="T6" fmla="*/ 0 60000 65536"/>
              <a:gd name="T7" fmla="*/ 0 60000 65536"/>
              <a:gd name="T8" fmla="*/ 0 60000 65536"/>
              <a:gd name="T9" fmla="*/ 0 w 112"/>
              <a:gd name="T10" fmla="*/ 0 h 56"/>
              <a:gd name="T11" fmla="*/ 112 w 112"/>
              <a:gd name="T12" fmla="*/ 56 h 56"/>
            </a:gdLst>
            <a:ahLst/>
            <a:cxnLst>
              <a:cxn ang="T6">
                <a:pos x="T0" y="T1"/>
              </a:cxn>
              <a:cxn ang="T7">
                <a:pos x="T2" y="T3"/>
              </a:cxn>
              <a:cxn ang="T8">
                <a:pos x="T4" y="T5"/>
              </a:cxn>
            </a:cxnLst>
            <a:rect l="T9" t="T10" r="T11" b="T12"/>
            <a:pathLst>
              <a:path w="112" h="56">
                <a:moveTo>
                  <a:pt x="112" y="0"/>
                </a:moveTo>
                <a:cubicBezTo>
                  <a:pt x="102" y="2"/>
                  <a:pt x="93" y="5"/>
                  <a:pt x="74" y="14"/>
                </a:cubicBezTo>
                <a:cubicBezTo>
                  <a:pt x="55" y="23"/>
                  <a:pt x="12" y="49"/>
                  <a:pt x="0" y="56"/>
                </a:cubicBezTo>
              </a:path>
            </a:pathLst>
          </a:custGeom>
          <a:noFill/>
          <a:ln w="9525">
            <a:solidFill>
              <a:srgbClr val="000000"/>
            </a:solidFill>
            <a:round/>
            <a:headEnd/>
            <a:tailEnd/>
          </a:ln>
        </xdr:spPr>
      </xdr:sp>
      <xdr:sp macro="" textlink="">
        <xdr:nvSpPr>
          <xdr:cNvPr id="26" name="Line 27"/>
          <xdr:cNvSpPr>
            <a:spLocks noChangeShapeType="1"/>
          </xdr:cNvSpPr>
        </xdr:nvSpPr>
        <xdr:spPr bwMode="auto">
          <a:xfrm flipH="1">
            <a:off x="677" y="1239"/>
            <a:ext cx="627" cy="2"/>
          </a:xfrm>
          <a:prstGeom prst="line">
            <a:avLst/>
          </a:prstGeom>
          <a:noFill/>
          <a:ln w="9525">
            <a:solidFill>
              <a:srgbClr val="000000"/>
            </a:solidFill>
            <a:round/>
            <a:headEnd/>
            <a:tailEnd/>
          </a:ln>
        </xdr:spPr>
      </xdr:sp>
      <xdr:sp macro="" textlink="">
        <xdr:nvSpPr>
          <xdr:cNvPr id="27" name="Line 28"/>
          <xdr:cNvSpPr>
            <a:spLocks noChangeShapeType="1"/>
          </xdr:cNvSpPr>
        </xdr:nvSpPr>
        <xdr:spPr bwMode="auto">
          <a:xfrm>
            <a:off x="724" y="1202"/>
            <a:ext cx="0" cy="85"/>
          </a:xfrm>
          <a:prstGeom prst="line">
            <a:avLst/>
          </a:prstGeom>
          <a:noFill/>
          <a:ln w="9525">
            <a:solidFill>
              <a:srgbClr val="000000"/>
            </a:solidFill>
            <a:prstDash val="sysDot"/>
            <a:round/>
            <a:headEnd/>
            <a:tailEnd/>
          </a:ln>
        </xdr:spPr>
      </xdr:sp>
    </xdr:grpSp>
    <xdr:clientData/>
  </xdr:twoCellAnchor>
  <xdr:twoCellAnchor>
    <xdr:from>
      <xdr:col>11</xdr:col>
      <xdr:colOff>261936</xdr:colOff>
      <xdr:row>28</xdr:row>
      <xdr:rowOff>0</xdr:rowOff>
    </xdr:from>
    <xdr:to>
      <xdr:col>20</xdr:col>
      <xdr:colOff>590549</xdr:colOff>
      <xdr:row>46</xdr:row>
      <xdr:rowOff>114300</xdr:rowOff>
    </xdr:to>
    <xdr:grpSp>
      <xdr:nvGrpSpPr>
        <xdr:cNvPr id="28" name="Group 29"/>
        <xdr:cNvGrpSpPr>
          <a:grpSpLocks/>
        </xdr:cNvGrpSpPr>
      </xdr:nvGrpSpPr>
      <xdr:grpSpPr bwMode="auto">
        <a:xfrm>
          <a:off x="9226019" y="5302250"/>
          <a:ext cx="6974947" cy="3522133"/>
          <a:chOff x="709" y="1389"/>
          <a:chExt cx="657" cy="376"/>
        </a:xfrm>
      </xdr:grpSpPr>
      <xdr:sp macro="" textlink="">
        <xdr:nvSpPr>
          <xdr:cNvPr id="29" name="AutoShape 30"/>
          <xdr:cNvSpPr>
            <a:spLocks noChangeArrowheads="1"/>
          </xdr:cNvSpPr>
        </xdr:nvSpPr>
        <xdr:spPr bwMode="auto">
          <a:xfrm>
            <a:off x="731" y="1389"/>
            <a:ext cx="635" cy="356"/>
          </a:xfrm>
          <a:prstGeom prst="roundRect">
            <a:avLst>
              <a:gd name="adj" fmla="val 11032"/>
            </a:avLst>
          </a:prstGeom>
          <a:noFill/>
          <a:ln w="9525">
            <a:solidFill>
              <a:srgbClr val="000000"/>
            </a:solidFill>
            <a:round/>
            <a:headEnd/>
            <a:tailEnd/>
          </a:ln>
        </xdr:spPr>
      </xdr:sp>
      <xdr:sp macro="" textlink="">
        <xdr:nvSpPr>
          <xdr:cNvPr id="30" name="Rectangle 31"/>
          <xdr:cNvSpPr>
            <a:spLocks noChangeArrowheads="1"/>
          </xdr:cNvSpPr>
        </xdr:nvSpPr>
        <xdr:spPr bwMode="auto">
          <a:xfrm>
            <a:off x="860" y="1521"/>
            <a:ext cx="381" cy="93"/>
          </a:xfrm>
          <a:prstGeom prst="rect">
            <a:avLst/>
          </a:prstGeom>
          <a:noFill/>
          <a:ln w="9525">
            <a:solidFill>
              <a:srgbClr val="000000"/>
            </a:solidFill>
            <a:miter lim="800000"/>
            <a:headEnd/>
            <a:tailEnd/>
          </a:ln>
        </xdr:spPr>
      </xdr:sp>
      <xdr:sp macro="" textlink="">
        <xdr:nvSpPr>
          <xdr:cNvPr id="31" name="Line 32"/>
          <xdr:cNvSpPr>
            <a:spLocks noChangeShapeType="1"/>
          </xdr:cNvSpPr>
        </xdr:nvSpPr>
        <xdr:spPr bwMode="auto">
          <a:xfrm>
            <a:off x="731" y="1573"/>
            <a:ext cx="129" cy="0"/>
          </a:xfrm>
          <a:prstGeom prst="line">
            <a:avLst/>
          </a:prstGeom>
          <a:noFill/>
          <a:ln w="9525">
            <a:solidFill>
              <a:srgbClr val="000000"/>
            </a:solidFill>
            <a:round/>
            <a:headEnd type="triangle" w="sm" len="sm"/>
            <a:tailEnd type="triangle" w="sm" len="sm"/>
          </a:ln>
        </xdr:spPr>
      </xdr:sp>
      <xdr:sp macro="" textlink="">
        <xdr:nvSpPr>
          <xdr:cNvPr id="32" name="Line 33"/>
          <xdr:cNvSpPr>
            <a:spLocks noChangeShapeType="1"/>
          </xdr:cNvSpPr>
        </xdr:nvSpPr>
        <xdr:spPr bwMode="auto">
          <a:xfrm>
            <a:off x="1241" y="1573"/>
            <a:ext cx="119" cy="0"/>
          </a:xfrm>
          <a:prstGeom prst="line">
            <a:avLst/>
          </a:prstGeom>
          <a:noFill/>
          <a:ln w="9525">
            <a:solidFill>
              <a:srgbClr val="000000"/>
            </a:solidFill>
            <a:round/>
            <a:headEnd type="triangle" w="sm" len="sm"/>
            <a:tailEnd type="triangle" w="sm" len="sm"/>
          </a:ln>
        </xdr:spPr>
      </xdr:sp>
      <xdr:sp macro="" textlink="">
        <xdr:nvSpPr>
          <xdr:cNvPr id="33" name="Line 34"/>
          <xdr:cNvSpPr>
            <a:spLocks noChangeShapeType="1"/>
          </xdr:cNvSpPr>
        </xdr:nvSpPr>
        <xdr:spPr bwMode="auto">
          <a:xfrm>
            <a:off x="952" y="1613"/>
            <a:ext cx="0" cy="132"/>
          </a:xfrm>
          <a:prstGeom prst="line">
            <a:avLst/>
          </a:prstGeom>
          <a:noFill/>
          <a:ln w="9525">
            <a:solidFill>
              <a:srgbClr val="000000"/>
            </a:solidFill>
            <a:round/>
            <a:headEnd type="triangle" w="sm" len="sm"/>
            <a:tailEnd type="triangle" w="sm" len="sm"/>
          </a:ln>
        </xdr:spPr>
      </xdr:sp>
      <xdr:sp macro="" textlink="">
        <xdr:nvSpPr>
          <xdr:cNvPr id="34" name="AutoShape 35"/>
          <xdr:cNvSpPr>
            <a:spLocks noChangeArrowheads="1"/>
          </xdr:cNvSpPr>
        </xdr:nvSpPr>
        <xdr:spPr bwMode="auto">
          <a:xfrm>
            <a:off x="786" y="1441"/>
            <a:ext cx="528" cy="253"/>
          </a:xfrm>
          <a:prstGeom prst="roundRect">
            <a:avLst>
              <a:gd name="adj" fmla="val 7694"/>
            </a:avLst>
          </a:prstGeom>
          <a:noFill/>
          <a:ln w="12700">
            <a:solidFill>
              <a:srgbClr val="000000"/>
            </a:solidFill>
            <a:prstDash val="sysDot"/>
            <a:round/>
            <a:headEnd/>
            <a:tailEnd/>
          </a:ln>
        </xdr:spPr>
      </xdr:sp>
      <xdr:sp macro="" textlink="">
        <xdr:nvSpPr>
          <xdr:cNvPr id="35" name="Line 36"/>
          <xdr:cNvSpPr>
            <a:spLocks noChangeShapeType="1"/>
          </xdr:cNvSpPr>
        </xdr:nvSpPr>
        <xdr:spPr bwMode="auto">
          <a:xfrm flipV="1">
            <a:off x="709" y="1390"/>
            <a:ext cx="0" cy="183"/>
          </a:xfrm>
          <a:prstGeom prst="line">
            <a:avLst/>
          </a:prstGeom>
          <a:noFill/>
          <a:ln w="9525">
            <a:solidFill>
              <a:srgbClr val="000000"/>
            </a:solidFill>
            <a:round/>
            <a:headEnd/>
            <a:tailEnd type="triangle" w="sm" len="sm"/>
          </a:ln>
        </xdr:spPr>
      </xdr:sp>
      <xdr:sp macro="" textlink="">
        <xdr:nvSpPr>
          <xdr:cNvPr id="36" name="Line 37"/>
          <xdr:cNvSpPr>
            <a:spLocks noChangeShapeType="1"/>
          </xdr:cNvSpPr>
        </xdr:nvSpPr>
        <xdr:spPr bwMode="auto">
          <a:xfrm>
            <a:off x="709" y="1641"/>
            <a:ext cx="0" cy="104"/>
          </a:xfrm>
          <a:prstGeom prst="line">
            <a:avLst/>
          </a:prstGeom>
          <a:noFill/>
          <a:ln w="9525">
            <a:solidFill>
              <a:srgbClr val="000000"/>
            </a:solidFill>
            <a:round/>
            <a:headEnd/>
            <a:tailEnd type="triangle" w="sm" len="sm"/>
          </a:ln>
        </xdr:spPr>
      </xdr:sp>
      <xdr:sp macro="" textlink="">
        <xdr:nvSpPr>
          <xdr:cNvPr id="37" name="Line 38"/>
          <xdr:cNvSpPr>
            <a:spLocks noChangeShapeType="1"/>
          </xdr:cNvSpPr>
        </xdr:nvSpPr>
        <xdr:spPr bwMode="auto">
          <a:xfrm flipH="1">
            <a:off x="735" y="1765"/>
            <a:ext cx="206" cy="0"/>
          </a:xfrm>
          <a:prstGeom prst="line">
            <a:avLst/>
          </a:prstGeom>
          <a:noFill/>
          <a:ln w="9525">
            <a:solidFill>
              <a:srgbClr val="000000"/>
            </a:solidFill>
            <a:round/>
            <a:headEnd/>
            <a:tailEnd type="triangle" w="sm" len="sm"/>
          </a:ln>
        </xdr:spPr>
      </xdr:sp>
      <xdr:sp macro="" textlink="">
        <xdr:nvSpPr>
          <xdr:cNvPr id="38" name="Line 39"/>
          <xdr:cNvSpPr>
            <a:spLocks noChangeShapeType="1"/>
          </xdr:cNvSpPr>
        </xdr:nvSpPr>
        <xdr:spPr bwMode="auto">
          <a:xfrm>
            <a:off x="1122" y="1764"/>
            <a:ext cx="240" cy="1"/>
          </a:xfrm>
          <a:prstGeom prst="line">
            <a:avLst/>
          </a:prstGeom>
          <a:noFill/>
          <a:ln w="9525">
            <a:solidFill>
              <a:srgbClr val="000000"/>
            </a:solidFill>
            <a:round/>
            <a:headEnd/>
            <a:tailEnd type="triangle" w="sm" len="sm"/>
          </a:ln>
        </xdr:spPr>
      </xdr:sp>
      <xdr:sp macro="" textlink="">
        <xdr:nvSpPr>
          <xdr:cNvPr id="39" name="Line 40"/>
          <xdr:cNvSpPr>
            <a:spLocks noChangeShapeType="1"/>
          </xdr:cNvSpPr>
        </xdr:nvSpPr>
        <xdr:spPr bwMode="auto">
          <a:xfrm>
            <a:off x="1088" y="1441"/>
            <a:ext cx="1" cy="253"/>
          </a:xfrm>
          <a:prstGeom prst="line">
            <a:avLst/>
          </a:prstGeom>
          <a:noFill/>
          <a:ln w="9525">
            <a:solidFill>
              <a:srgbClr val="000000"/>
            </a:solidFill>
            <a:round/>
            <a:headEnd type="triangle" w="sm" len="sm"/>
            <a:tailEnd type="triangle" w="sm" len="sm"/>
          </a:ln>
        </xdr:spPr>
      </xdr:sp>
      <xdr:sp macro="" textlink="">
        <xdr:nvSpPr>
          <xdr:cNvPr id="40" name="Line 41"/>
          <xdr:cNvSpPr>
            <a:spLocks noChangeShapeType="1"/>
          </xdr:cNvSpPr>
        </xdr:nvSpPr>
        <xdr:spPr bwMode="auto">
          <a:xfrm>
            <a:off x="949" y="1389"/>
            <a:ext cx="0" cy="132"/>
          </a:xfrm>
          <a:prstGeom prst="line">
            <a:avLst/>
          </a:prstGeom>
          <a:noFill/>
          <a:ln w="9525">
            <a:solidFill>
              <a:srgbClr val="000000"/>
            </a:solidFill>
            <a:round/>
            <a:headEnd type="triangle" w="sm" len="sm"/>
            <a:tailEnd type="triangle" w="sm" len="sm"/>
          </a:ln>
        </xdr:spPr>
      </xdr:sp>
      <xdr:sp macro="" textlink="">
        <xdr:nvSpPr>
          <xdr:cNvPr id="41" name="Line 42"/>
          <xdr:cNvSpPr>
            <a:spLocks noChangeShapeType="1"/>
          </xdr:cNvSpPr>
        </xdr:nvSpPr>
        <xdr:spPr bwMode="auto">
          <a:xfrm>
            <a:off x="1152" y="1614"/>
            <a:ext cx="0" cy="80"/>
          </a:xfrm>
          <a:prstGeom prst="line">
            <a:avLst/>
          </a:prstGeom>
          <a:noFill/>
          <a:ln w="9525">
            <a:solidFill>
              <a:srgbClr val="000000"/>
            </a:solidFill>
            <a:round/>
            <a:headEnd type="triangle" w="sm" len="sm"/>
            <a:tailEnd type="triangle" w="sm" len="sm"/>
          </a:ln>
        </xdr:spPr>
      </xdr:sp>
    </xdr:grpSp>
    <xdr:clientData/>
  </xdr:twoCellAnchor>
  <xdr:twoCellAnchor editAs="oneCell">
    <xdr:from>
      <xdr:col>11</xdr:col>
      <xdr:colOff>235857</xdr:colOff>
      <xdr:row>61</xdr:row>
      <xdr:rowOff>24945</xdr:rowOff>
    </xdr:from>
    <xdr:to>
      <xdr:col>18</xdr:col>
      <xdr:colOff>429292</xdr:colOff>
      <xdr:row>78</xdr:row>
      <xdr:rowOff>22677</xdr:rowOff>
    </xdr:to>
    <xdr:pic>
      <xdr:nvPicPr>
        <xdr:cNvPr id="43" name="Picture 42" descr="D-33.JPG"/>
        <xdr:cNvPicPr>
          <a:picLocks noChangeAspect="1"/>
        </xdr:cNvPicPr>
      </xdr:nvPicPr>
      <xdr:blipFill>
        <a:blip xmlns:r="http://schemas.openxmlformats.org/officeDocument/2006/relationships" r:embed="rId1" cstate="print"/>
        <a:stretch>
          <a:fillRect/>
        </a:stretch>
      </xdr:blipFill>
      <xdr:spPr>
        <a:xfrm>
          <a:off x="9162143" y="11577409"/>
          <a:ext cx="5495686" cy="31409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390673</xdr:colOff>
      <xdr:row>13</xdr:row>
      <xdr:rowOff>27819</xdr:rowOff>
    </xdr:from>
    <xdr:to>
      <xdr:col>11</xdr:col>
      <xdr:colOff>394606</xdr:colOff>
      <xdr:row>17</xdr:row>
      <xdr:rowOff>149678</xdr:rowOff>
    </xdr:to>
    <xdr:sp macro="" textlink="">
      <xdr:nvSpPr>
        <xdr:cNvPr id="2" name="Line 11"/>
        <xdr:cNvSpPr>
          <a:spLocks noChangeShapeType="1"/>
        </xdr:cNvSpPr>
      </xdr:nvSpPr>
      <xdr:spPr bwMode="auto">
        <a:xfrm>
          <a:off x="8663816" y="2613176"/>
          <a:ext cx="3933" cy="829431"/>
        </a:xfrm>
        <a:prstGeom prst="line">
          <a:avLst/>
        </a:prstGeom>
        <a:noFill/>
        <a:ln w="9525">
          <a:solidFill>
            <a:srgbClr val="000000"/>
          </a:solidFill>
          <a:round/>
          <a:headEnd/>
          <a:tailEnd type="triangle" w="sm" len="sm"/>
        </a:ln>
      </xdr:spPr>
    </xdr:sp>
    <xdr:clientData/>
  </xdr:twoCellAnchor>
  <xdr:twoCellAnchor>
    <xdr:from>
      <xdr:col>11</xdr:col>
      <xdr:colOff>408213</xdr:colOff>
      <xdr:row>4</xdr:row>
      <xdr:rowOff>136071</xdr:rowOff>
    </xdr:from>
    <xdr:to>
      <xdr:col>17</xdr:col>
      <xdr:colOff>1217208</xdr:colOff>
      <xdr:row>19</xdr:row>
      <xdr:rowOff>119712</xdr:rowOff>
    </xdr:to>
    <xdr:grpSp>
      <xdr:nvGrpSpPr>
        <xdr:cNvPr id="3" name="Group 44"/>
        <xdr:cNvGrpSpPr>
          <a:grpSpLocks/>
        </xdr:cNvGrpSpPr>
      </xdr:nvGrpSpPr>
      <xdr:grpSpPr bwMode="auto">
        <a:xfrm>
          <a:off x="9009288" y="774246"/>
          <a:ext cx="6733545" cy="3250716"/>
          <a:chOff x="770" y="1387"/>
          <a:chExt cx="685" cy="410"/>
        </a:xfrm>
      </xdr:grpSpPr>
      <xdr:sp macro="" textlink="">
        <xdr:nvSpPr>
          <xdr:cNvPr id="4" name="AutoShape 2"/>
          <xdr:cNvSpPr>
            <a:spLocks noChangeArrowheads="1"/>
          </xdr:cNvSpPr>
        </xdr:nvSpPr>
        <xdr:spPr bwMode="auto">
          <a:xfrm>
            <a:off x="797" y="1387"/>
            <a:ext cx="658" cy="371"/>
          </a:xfrm>
          <a:prstGeom prst="roundRect">
            <a:avLst>
              <a:gd name="adj" fmla="val 11032"/>
            </a:avLst>
          </a:prstGeom>
          <a:noFill/>
          <a:ln w="9525">
            <a:solidFill>
              <a:srgbClr val="000000"/>
            </a:solidFill>
            <a:round/>
            <a:headEnd/>
            <a:tailEnd/>
          </a:ln>
        </xdr:spPr>
      </xdr:sp>
      <xdr:sp macro="" textlink="">
        <xdr:nvSpPr>
          <xdr:cNvPr id="5" name="Rectangle 3"/>
          <xdr:cNvSpPr>
            <a:spLocks noChangeArrowheads="1"/>
          </xdr:cNvSpPr>
        </xdr:nvSpPr>
        <xdr:spPr bwMode="auto">
          <a:xfrm>
            <a:off x="901" y="1488"/>
            <a:ext cx="461" cy="106"/>
          </a:xfrm>
          <a:prstGeom prst="rect">
            <a:avLst/>
          </a:prstGeom>
          <a:noFill/>
          <a:ln w="9525">
            <a:solidFill>
              <a:srgbClr val="000000"/>
            </a:solidFill>
            <a:miter lim="800000"/>
            <a:headEnd/>
            <a:tailEnd/>
          </a:ln>
        </xdr:spPr>
      </xdr:sp>
      <xdr:sp macro="" textlink="">
        <xdr:nvSpPr>
          <xdr:cNvPr id="6" name="Line 4"/>
          <xdr:cNvSpPr>
            <a:spLocks noChangeShapeType="1"/>
          </xdr:cNvSpPr>
        </xdr:nvSpPr>
        <xdr:spPr bwMode="auto">
          <a:xfrm>
            <a:off x="797" y="1544"/>
            <a:ext cx="104" cy="0"/>
          </a:xfrm>
          <a:prstGeom prst="line">
            <a:avLst/>
          </a:prstGeom>
          <a:noFill/>
          <a:ln w="9525">
            <a:solidFill>
              <a:srgbClr val="000000"/>
            </a:solidFill>
            <a:round/>
            <a:headEnd type="triangle" w="sm" len="sm"/>
            <a:tailEnd type="triangle" w="sm" len="sm"/>
          </a:ln>
        </xdr:spPr>
      </xdr:sp>
      <xdr:sp macro="" textlink="">
        <xdr:nvSpPr>
          <xdr:cNvPr id="7" name="Line 5"/>
          <xdr:cNvSpPr>
            <a:spLocks noChangeShapeType="1"/>
          </xdr:cNvSpPr>
        </xdr:nvSpPr>
        <xdr:spPr bwMode="auto">
          <a:xfrm>
            <a:off x="1362" y="1548"/>
            <a:ext cx="93" cy="0"/>
          </a:xfrm>
          <a:prstGeom prst="line">
            <a:avLst/>
          </a:prstGeom>
          <a:noFill/>
          <a:ln w="9525">
            <a:solidFill>
              <a:srgbClr val="000000"/>
            </a:solidFill>
            <a:round/>
            <a:headEnd type="triangle" w="sm" len="sm"/>
            <a:tailEnd type="triangle" w="sm" len="sm"/>
          </a:ln>
        </xdr:spPr>
      </xdr:sp>
      <xdr:sp macro="" textlink="">
        <xdr:nvSpPr>
          <xdr:cNvPr id="8" name="Line 6"/>
          <xdr:cNvSpPr>
            <a:spLocks noChangeShapeType="1"/>
          </xdr:cNvSpPr>
        </xdr:nvSpPr>
        <xdr:spPr bwMode="auto">
          <a:xfrm>
            <a:off x="1076" y="1387"/>
            <a:ext cx="0" cy="102"/>
          </a:xfrm>
          <a:prstGeom prst="line">
            <a:avLst/>
          </a:prstGeom>
          <a:noFill/>
          <a:ln w="9525">
            <a:solidFill>
              <a:srgbClr val="000000"/>
            </a:solidFill>
            <a:round/>
            <a:headEnd type="triangle" w="sm" len="sm"/>
            <a:tailEnd type="triangle" w="sm" len="sm"/>
          </a:ln>
        </xdr:spPr>
      </xdr:sp>
      <xdr:sp macro="" textlink="">
        <xdr:nvSpPr>
          <xdr:cNvPr id="9" name="Line 7"/>
          <xdr:cNvSpPr>
            <a:spLocks noChangeShapeType="1"/>
          </xdr:cNvSpPr>
        </xdr:nvSpPr>
        <xdr:spPr bwMode="auto">
          <a:xfrm flipH="1">
            <a:off x="1036" y="1597"/>
            <a:ext cx="2" cy="162"/>
          </a:xfrm>
          <a:prstGeom prst="line">
            <a:avLst/>
          </a:prstGeom>
          <a:noFill/>
          <a:ln w="9525">
            <a:solidFill>
              <a:srgbClr val="000000"/>
            </a:solidFill>
            <a:round/>
            <a:headEnd type="triangle" w="sm" len="sm"/>
            <a:tailEnd type="triangle" w="sm" len="sm"/>
          </a:ln>
        </xdr:spPr>
      </xdr:sp>
      <xdr:sp macro="" textlink="">
        <xdr:nvSpPr>
          <xdr:cNvPr id="10" name="AutoShape 8"/>
          <xdr:cNvSpPr>
            <a:spLocks noChangeArrowheads="1"/>
          </xdr:cNvSpPr>
        </xdr:nvSpPr>
        <xdr:spPr bwMode="auto">
          <a:xfrm>
            <a:off x="888" y="1479"/>
            <a:ext cx="487" cy="237"/>
          </a:xfrm>
          <a:prstGeom prst="roundRect">
            <a:avLst>
              <a:gd name="adj" fmla="val 7694"/>
            </a:avLst>
          </a:prstGeom>
          <a:noFill/>
          <a:ln w="12700">
            <a:solidFill>
              <a:srgbClr val="000000"/>
            </a:solidFill>
            <a:prstDash val="sysDot"/>
            <a:round/>
            <a:headEnd/>
            <a:tailEnd/>
          </a:ln>
        </xdr:spPr>
      </xdr:sp>
      <xdr:sp macro="" textlink="">
        <xdr:nvSpPr>
          <xdr:cNvPr id="11" name="Line 9"/>
          <xdr:cNvSpPr>
            <a:spLocks noChangeShapeType="1"/>
          </xdr:cNvSpPr>
        </xdr:nvSpPr>
        <xdr:spPr bwMode="auto">
          <a:xfrm>
            <a:off x="1328" y="1597"/>
            <a:ext cx="1" cy="115"/>
          </a:xfrm>
          <a:prstGeom prst="line">
            <a:avLst/>
          </a:prstGeom>
          <a:noFill/>
          <a:ln w="9525">
            <a:solidFill>
              <a:srgbClr val="000000"/>
            </a:solidFill>
            <a:round/>
            <a:headEnd type="triangle" w="sm" len="sm"/>
            <a:tailEnd type="triangle" w="sm" len="sm"/>
          </a:ln>
        </xdr:spPr>
      </xdr:sp>
      <xdr:sp macro="" textlink="">
        <xdr:nvSpPr>
          <xdr:cNvPr id="12" name="Line 10"/>
          <xdr:cNvSpPr>
            <a:spLocks noChangeShapeType="1"/>
          </xdr:cNvSpPr>
        </xdr:nvSpPr>
        <xdr:spPr bwMode="auto">
          <a:xfrm flipH="1" flipV="1">
            <a:off x="770" y="1388"/>
            <a:ext cx="0" cy="131"/>
          </a:xfrm>
          <a:prstGeom prst="line">
            <a:avLst/>
          </a:prstGeom>
          <a:noFill/>
          <a:ln w="9525">
            <a:solidFill>
              <a:srgbClr val="000000"/>
            </a:solidFill>
            <a:round/>
            <a:headEnd/>
            <a:tailEnd type="triangle" w="sm" len="sm"/>
          </a:ln>
        </xdr:spPr>
      </xdr:sp>
      <xdr:sp macro="" textlink="">
        <xdr:nvSpPr>
          <xdr:cNvPr id="13" name="Line 12"/>
          <xdr:cNvSpPr>
            <a:spLocks noChangeShapeType="1"/>
          </xdr:cNvSpPr>
        </xdr:nvSpPr>
        <xdr:spPr bwMode="auto">
          <a:xfrm flipH="1">
            <a:off x="795" y="1795"/>
            <a:ext cx="189" cy="0"/>
          </a:xfrm>
          <a:prstGeom prst="line">
            <a:avLst/>
          </a:prstGeom>
          <a:noFill/>
          <a:ln w="9525">
            <a:solidFill>
              <a:srgbClr val="000000"/>
            </a:solidFill>
            <a:round/>
            <a:headEnd/>
            <a:tailEnd type="triangle" w="sm" len="sm"/>
          </a:ln>
        </xdr:spPr>
      </xdr:sp>
      <xdr:sp macro="" textlink="">
        <xdr:nvSpPr>
          <xdr:cNvPr id="14" name="Line 13"/>
          <xdr:cNvSpPr>
            <a:spLocks noChangeShapeType="1"/>
          </xdr:cNvSpPr>
        </xdr:nvSpPr>
        <xdr:spPr bwMode="auto">
          <a:xfrm flipV="1">
            <a:off x="1165" y="1797"/>
            <a:ext cx="262" cy="0"/>
          </a:xfrm>
          <a:prstGeom prst="line">
            <a:avLst/>
          </a:prstGeom>
          <a:noFill/>
          <a:ln w="9525">
            <a:solidFill>
              <a:srgbClr val="000000"/>
            </a:solidFill>
            <a:round/>
            <a:headEnd/>
            <a:tailEnd type="triangle" w="sm" len="sm"/>
          </a:ln>
        </xdr:spPr>
      </xdr:sp>
    </xdr:grpSp>
    <xdr:clientData/>
  </xdr:twoCellAnchor>
  <xdr:twoCellAnchor>
    <xdr:from>
      <xdr:col>10</xdr:col>
      <xdr:colOff>54429</xdr:colOff>
      <xdr:row>30</xdr:row>
      <xdr:rowOff>40821</xdr:rowOff>
    </xdr:from>
    <xdr:to>
      <xdr:col>17</xdr:col>
      <xdr:colOff>994008</xdr:colOff>
      <xdr:row>40</xdr:row>
      <xdr:rowOff>27214</xdr:rowOff>
    </xdr:to>
    <xdr:grpSp>
      <xdr:nvGrpSpPr>
        <xdr:cNvPr id="15" name="Group 43"/>
        <xdr:cNvGrpSpPr>
          <a:grpSpLocks/>
        </xdr:cNvGrpSpPr>
      </xdr:nvGrpSpPr>
      <xdr:grpSpPr bwMode="auto">
        <a:xfrm>
          <a:off x="8369754" y="6365421"/>
          <a:ext cx="7149879" cy="2300968"/>
          <a:chOff x="761" y="1007"/>
          <a:chExt cx="688" cy="235"/>
        </a:xfrm>
      </xdr:grpSpPr>
      <xdr:sp macro="" textlink="">
        <xdr:nvSpPr>
          <xdr:cNvPr id="16" name="Line 15"/>
          <xdr:cNvSpPr>
            <a:spLocks noChangeShapeType="1"/>
          </xdr:cNvSpPr>
        </xdr:nvSpPr>
        <xdr:spPr bwMode="auto">
          <a:xfrm>
            <a:off x="765" y="1123"/>
            <a:ext cx="684" cy="27"/>
          </a:xfrm>
          <a:prstGeom prst="line">
            <a:avLst/>
          </a:prstGeom>
          <a:noFill/>
          <a:ln w="9525">
            <a:solidFill>
              <a:srgbClr val="000000"/>
            </a:solidFill>
            <a:round/>
            <a:headEnd/>
            <a:tailEnd/>
          </a:ln>
        </xdr:spPr>
      </xdr:sp>
      <xdr:sp macro="" textlink="">
        <xdr:nvSpPr>
          <xdr:cNvPr id="17" name="Rectangle 16"/>
          <xdr:cNvSpPr>
            <a:spLocks noChangeArrowheads="1"/>
          </xdr:cNvSpPr>
        </xdr:nvSpPr>
        <xdr:spPr bwMode="auto">
          <a:xfrm>
            <a:off x="982" y="1057"/>
            <a:ext cx="160" cy="17"/>
          </a:xfrm>
          <a:prstGeom prst="rect">
            <a:avLst/>
          </a:prstGeom>
          <a:solidFill>
            <a:srgbClr val="FFFFFF"/>
          </a:solidFill>
          <a:ln w="9525">
            <a:solidFill>
              <a:srgbClr val="000000"/>
            </a:solidFill>
            <a:miter lim="800000"/>
            <a:headEnd/>
            <a:tailEnd/>
          </a:ln>
        </xdr:spPr>
      </xdr:sp>
      <xdr:sp macro="" textlink="">
        <xdr:nvSpPr>
          <xdr:cNvPr id="18" name="Line 17"/>
          <xdr:cNvSpPr>
            <a:spLocks noChangeShapeType="1"/>
          </xdr:cNvSpPr>
        </xdr:nvSpPr>
        <xdr:spPr bwMode="auto">
          <a:xfrm>
            <a:off x="761" y="1160"/>
            <a:ext cx="687" cy="17"/>
          </a:xfrm>
          <a:prstGeom prst="line">
            <a:avLst/>
          </a:prstGeom>
          <a:noFill/>
          <a:ln w="9525">
            <a:solidFill>
              <a:srgbClr val="000000"/>
            </a:solidFill>
            <a:round/>
            <a:headEnd/>
            <a:tailEnd/>
          </a:ln>
        </xdr:spPr>
      </xdr:sp>
      <xdr:sp macro="" textlink="">
        <xdr:nvSpPr>
          <xdr:cNvPr id="19" name="Rectangle 18"/>
          <xdr:cNvSpPr>
            <a:spLocks noChangeArrowheads="1"/>
          </xdr:cNvSpPr>
        </xdr:nvSpPr>
        <xdr:spPr bwMode="auto">
          <a:xfrm>
            <a:off x="1036" y="1007"/>
            <a:ext cx="7" cy="67"/>
          </a:xfrm>
          <a:prstGeom prst="rect">
            <a:avLst/>
          </a:prstGeom>
          <a:solidFill>
            <a:srgbClr val="FFFFFF"/>
          </a:solidFill>
          <a:ln w="9525">
            <a:solidFill>
              <a:srgbClr val="000000"/>
            </a:solidFill>
            <a:miter lim="800000"/>
            <a:headEnd/>
            <a:tailEnd/>
          </a:ln>
        </xdr:spPr>
      </xdr:sp>
      <xdr:sp macro="" textlink="">
        <xdr:nvSpPr>
          <xdr:cNvPr id="20" name="Oval 19"/>
          <xdr:cNvSpPr>
            <a:spLocks noChangeArrowheads="1"/>
          </xdr:cNvSpPr>
        </xdr:nvSpPr>
        <xdr:spPr bwMode="auto">
          <a:xfrm>
            <a:off x="994" y="1062"/>
            <a:ext cx="7" cy="5"/>
          </a:xfrm>
          <a:prstGeom prst="ellipse">
            <a:avLst/>
          </a:prstGeom>
          <a:solidFill>
            <a:srgbClr val="FFFFFF"/>
          </a:solidFill>
          <a:ln w="9525">
            <a:solidFill>
              <a:srgbClr val="000000"/>
            </a:solidFill>
            <a:round/>
            <a:headEnd/>
            <a:tailEnd/>
          </a:ln>
        </xdr:spPr>
      </xdr:sp>
      <xdr:sp macro="" textlink="">
        <xdr:nvSpPr>
          <xdr:cNvPr id="21" name="Oval 20"/>
          <xdr:cNvSpPr>
            <a:spLocks noChangeArrowheads="1"/>
          </xdr:cNvSpPr>
        </xdr:nvSpPr>
        <xdr:spPr bwMode="auto">
          <a:xfrm>
            <a:off x="1061" y="1061"/>
            <a:ext cx="7" cy="5"/>
          </a:xfrm>
          <a:prstGeom prst="ellipse">
            <a:avLst/>
          </a:prstGeom>
          <a:solidFill>
            <a:srgbClr val="FFFFFF"/>
          </a:solidFill>
          <a:ln w="9525">
            <a:solidFill>
              <a:srgbClr val="000000"/>
            </a:solidFill>
            <a:round/>
            <a:headEnd/>
            <a:tailEnd/>
          </a:ln>
        </xdr:spPr>
      </xdr:sp>
      <xdr:sp macro="" textlink="">
        <xdr:nvSpPr>
          <xdr:cNvPr id="22" name="Oval 21"/>
          <xdr:cNvSpPr>
            <a:spLocks noChangeArrowheads="1"/>
          </xdr:cNvSpPr>
        </xdr:nvSpPr>
        <xdr:spPr bwMode="auto">
          <a:xfrm>
            <a:off x="1125" y="1061"/>
            <a:ext cx="7" cy="5"/>
          </a:xfrm>
          <a:prstGeom prst="ellipse">
            <a:avLst/>
          </a:prstGeom>
          <a:solidFill>
            <a:srgbClr val="FFFFFF"/>
          </a:solidFill>
          <a:ln w="9525">
            <a:solidFill>
              <a:srgbClr val="000000"/>
            </a:solidFill>
            <a:round/>
            <a:headEnd/>
            <a:tailEnd/>
          </a:ln>
        </xdr:spPr>
      </xdr:sp>
      <xdr:sp macro="" textlink="">
        <xdr:nvSpPr>
          <xdr:cNvPr id="23" name="Line 22"/>
          <xdr:cNvSpPr>
            <a:spLocks noChangeShapeType="1"/>
          </xdr:cNvSpPr>
        </xdr:nvSpPr>
        <xdr:spPr bwMode="auto">
          <a:xfrm>
            <a:off x="1036" y="1057"/>
            <a:ext cx="8" cy="0"/>
          </a:xfrm>
          <a:prstGeom prst="line">
            <a:avLst/>
          </a:prstGeom>
          <a:noFill/>
          <a:ln w="9525">
            <a:solidFill>
              <a:srgbClr val="000000"/>
            </a:solidFill>
            <a:round/>
            <a:headEnd/>
            <a:tailEnd/>
          </a:ln>
        </xdr:spPr>
      </xdr:sp>
      <xdr:sp macro="" textlink="">
        <xdr:nvSpPr>
          <xdr:cNvPr id="24" name="Line 23"/>
          <xdr:cNvSpPr>
            <a:spLocks noChangeShapeType="1"/>
          </xdr:cNvSpPr>
        </xdr:nvSpPr>
        <xdr:spPr bwMode="auto">
          <a:xfrm>
            <a:off x="982" y="1074"/>
            <a:ext cx="0" cy="58"/>
          </a:xfrm>
          <a:prstGeom prst="line">
            <a:avLst/>
          </a:prstGeom>
          <a:noFill/>
          <a:ln w="9525">
            <a:solidFill>
              <a:srgbClr val="000000"/>
            </a:solidFill>
            <a:round/>
            <a:headEnd type="triangle" w="sm" len="sm"/>
            <a:tailEnd type="triangle" w="sm" len="sm"/>
          </a:ln>
        </xdr:spPr>
      </xdr:sp>
      <xdr:sp macro="" textlink="">
        <xdr:nvSpPr>
          <xdr:cNvPr id="25" name="Line 24"/>
          <xdr:cNvSpPr>
            <a:spLocks noChangeShapeType="1"/>
          </xdr:cNvSpPr>
        </xdr:nvSpPr>
        <xdr:spPr bwMode="auto">
          <a:xfrm>
            <a:off x="797" y="1124"/>
            <a:ext cx="2" cy="79"/>
          </a:xfrm>
          <a:prstGeom prst="line">
            <a:avLst/>
          </a:prstGeom>
          <a:noFill/>
          <a:ln w="9525">
            <a:solidFill>
              <a:srgbClr val="000000"/>
            </a:solidFill>
            <a:prstDash val="sysDot"/>
            <a:round/>
            <a:headEnd/>
            <a:tailEnd/>
          </a:ln>
        </xdr:spPr>
      </xdr:sp>
      <xdr:sp macro="" textlink="">
        <xdr:nvSpPr>
          <xdr:cNvPr id="26" name="Line 25"/>
          <xdr:cNvSpPr>
            <a:spLocks noChangeShapeType="1"/>
          </xdr:cNvSpPr>
        </xdr:nvSpPr>
        <xdr:spPr bwMode="auto">
          <a:xfrm>
            <a:off x="982" y="1132"/>
            <a:ext cx="0" cy="107"/>
          </a:xfrm>
          <a:prstGeom prst="line">
            <a:avLst/>
          </a:prstGeom>
          <a:noFill/>
          <a:ln w="9525">
            <a:solidFill>
              <a:srgbClr val="000000"/>
            </a:solidFill>
            <a:prstDash val="sysDot"/>
            <a:round/>
            <a:headEnd/>
            <a:tailEnd/>
          </a:ln>
        </xdr:spPr>
      </xdr:sp>
      <xdr:sp macro="" textlink="">
        <xdr:nvSpPr>
          <xdr:cNvPr id="27" name="Line 26"/>
          <xdr:cNvSpPr>
            <a:spLocks noChangeShapeType="1"/>
          </xdr:cNvSpPr>
        </xdr:nvSpPr>
        <xdr:spPr bwMode="auto">
          <a:xfrm>
            <a:off x="1142" y="1138"/>
            <a:ext cx="0" cy="67"/>
          </a:xfrm>
          <a:prstGeom prst="line">
            <a:avLst/>
          </a:prstGeom>
          <a:noFill/>
          <a:ln w="9525">
            <a:solidFill>
              <a:srgbClr val="000000"/>
            </a:solidFill>
            <a:prstDash val="sysDot"/>
            <a:round/>
            <a:headEnd/>
            <a:tailEnd/>
          </a:ln>
        </xdr:spPr>
      </xdr:sp>
      <xdr:sp macro="" textlink="">
        <xdr:nvSpPr>
          <xdr:cNvPr id="28" name="Line 27"/>
          <xdr:cNvSpPr>
            <a:spLocks noChangeShapeType="1"/>
          </xdr:cNvSpPr>
        </xdr:nvSpPr>
        <xdr:spPr bwMode="auto">
          <a:xfrm>
            <a:off x="1400" y="1148"/>
            <a:ext cx="0" cy="94"/>
          </a:xfrm>
          <a:prstGeom prst="line">
            <a:avLst/>
          </a:prstGeom>
          <a:noFill/>
          <a:ln w="9525">
            <a:solidFill>
              <a:srgbClr val="000000"/>
            </a:solidFill>
            <a:prstDash val="sysDot"/>
            <a:round/>
            <a:headEnd/>
            <a:tailEnd/>
          </a:ln>
        </xdr:spPr>
      </xdr:sp>
      <xdr:sp macro="" textlink="">
        <xdr:nvSpPr>
          <xdr:cNvPr id="29" name="Line 28"/>
          <xdr:cNvSpPr>
            <a:spLocks noChangeShapeType="1"/>
          </xdr:cNvSpPr>
        </xdr:nvSpPr>
        <xdr:spPr bwMode="auto">
          <a:xfrm>
            <a:off x="1445" y="1148"/>
            <a:ext cx="0" cy="55"/>
          </a:xfrm>
          <a:prstGeom prst="line">
            <a:avLst/>
          </a:prstGeom>
          <a:noFill/>
          <a:ln w="9525">
            <a:solidFill>
              <a:srgbClr val="000000"/>
            </a:solidFill>
            <a:prstDash val="sysDot"/>
            <a:round/>
            <a:headEnd/>
            <a:tailEnd/>
          </a:ln>
        </xdr:spPr>
      </xdr:sp>
      <xdr:sp macro="" textlink="">
        <xdr:nvSpPr>
          <xdr:cNvPr id="30" name="Freeform 29"/>
          <xdr:cNvSpPr>
            <a:spLocks/>
          </xdr:cNvSpPr>
        </xdr:nvSpPr>
        <xdr:spPr bwMode="auto">
          <a:xfrm>
            <a:off x="817" y="1057"/>
            <a:ext cx="165" cy="67"/>
          </a:xfrm>
          <a:custGeom>
            <a:avLst/>
            <a:gdLst>
              <a:gd name="T0" fmla="*/ 0 w 118"/>
              <a:gd name="T1" fmla="*/ 52 h 52"/>
              <a:gd name="T2" fmla="*/ 47 w 118"/>
              <a:gd name="T3" fmla="*/ 26 h 52"/>
              <a:gd name="T4" fmla="*/ 88 w 118"/>
              <a:gd name="T5" fmla="*/ 6 h 52"/>
              <a:gd name="T6" fmla="*/ 118 w 118"/>
              <a:gd name="T7" fmla="*/ 0 h 52"/>
              <a:gd name="T8" fmla="*/ 0 60000 65536"/>
              <a:gd name="T9" fmla="*/ 0 60000 65536"/>
              <a:gd name="T10" fmla="*/ 0 60000 65536"/>
              <a:gd name="T11" fmla="*/ 0 60000 65536"/>
              <a:gd name="T12" fmla="*/ 0 w 118"/>
              <a:gd name="T13" fmla="*/ 0 h 52"/>
              <a:gd name="T14" fmla="*/ 118 w 118"/>
              <a:gd name="T15" fmla="*/ 52 h 52"/>
            </a:gdLst>
            <a:ahLst/>
            <a:cxnLst>
              <a:cxn ang="T8">
                <a:pos x="T0" y="T1"/>
              </a:cxn>
              <a:cxn ang="T9">
                <a:pos x="T2" y="T3"/>
              </a:cxn>
              <a:cxn ang="T10">
                <a:pos x="T4" y="T5"/>
              </a:cxn>
              <a:cxn ang="T11">
                <a:pos x="T6" y="T7"/>
              </a:cxn>
            </a:cxnLst>
            <a:rect l="T12" t="T13" r="T14" b="T15"/>
            <a:pathLst>
              <a:path w="118" h="52">
                <a:moveTo>
                  <a:pt x="0" y="52"/>
                </a:moveTo>
                <a:cubicBezTo>
                  <a:pt x="16" y="43"/>
                  <a:pt x="32" y="34"/>
                  <a:pt x="47" y="26"/>
                </a:cubicBezTo>
                <a:cubicBezTo>
                  <a:pt x="62" y="18"/>
                  <a:pt x="76" y="10"/>
                  <a:pt x="88" y="6"/>
                </a:cubicBezTo>
                <a:cubicBezTo>
                  <a:pt x="100" y="2"/>
                  <a:pt x="113" y="1"/>
                  <a:pt x="118" y="0"/>
                </a:cubicBezTo>
              </a:path>
            </a:pathLst>
          </a:custGeom>
          <a:noFill/>
          <a:ln w="9525">
            <a:solidFill>
              <a:srgbClr val="000000"/>
            </a:solidFill>
            <a:round/>
            <a:headEnd/>
            <a:tailEnd/>
          </a:ln>
        </xdr:spPr>
      </xdr:sp>
      <xdr:sp macro="" textlink="">
        <xdr:nvSpPr>
          <xdr:cNvPr id="31" name="Freeform 30"/>
          <xdr:cNvSpPr>
            <a:spLocks/>
          </xdr:cNvSpPr>
        </xdr:nvSpPr>
        <xdr:spPr bwMode="auto">
          <a:xfrm>
            <a:off x="1142" y="1057"/>
            <a:ext cx="258" cy="90"/>
          </a:xfrm>
          <a:custGeom>
            <a:avLst/>
            <a:gdLst>
              <a:gd name="T0" fmla="*/ 0 w 184"/>
              <a:gd name="T1" fmla="*/ 0 h 70"/>
              <a:gd name="T2" fmla="*/ 22 w 184"/>
              <a:gd name="T3" fmla="*/ 5 h 70"/>
              <a:gd name="T4" fmla="*/ 85 w 184"/>
              <a:gd name="T5" fmla="*/ 26 h 70"/>
              <a:gd name="T6" fmla="*/ 184 w 184"/>
              <a:gd name="T7" fmla="*/ 70 h 70"/>
              <a:gd name="T8" fmla="*/ 0 60000 65536"/>
              <a:gd name="T9" fmla="*/ 0 60000 65536"/>
              <a:gd name="T10" fmla="*/ 0 60000 65536"/>
              <a:gd name="T11" fmla="*/ 0 60000 65536"/>
              <a:gd name="T12" fmla="*/ 0 w 184"/>
              <a:gd name="T13" fmla="*/ 0 h 70"/>
              <a:gd name="T14" fmla="*/ 184 w 184"/>
              <a:gd name="T15" fmla="*/ 70 h 70"/>
            </a:gdLst>
            <a:ahLst/>
            <a:cxnLst>
              <a:cxn ang="T8">
                <a:pos x="T0" y="T1"/>
              </a:cxn>
              <a:cxn ang="T9">
                <a:pos x="T2" y="T3"/>
              </a:cxn>
              <a:cxn ang="T10">
                <a:pos x="T4" y="T5"/>
              </a:cxn>
              <a:cxn ang="T11">
                <a:pos x="T6" y="T7"/>
              </a:cxn>
            </a:cxnLst>
            <a:rect l="T12" t="T13" r="T14" b="T15"/>
            <a:pathLst>
              <a:path w="184" h="70">
                <a:moveTo>
                  <a:pt x="0" y="0"/>
                </a:moveTo>
                <a:cubicBezTo>
                  <a:pt x="4" y="0"/>
                  <a:pt x="8" y="1"/>
                  <a:pt x="22" y="5"/>
                </a:cubicBezTo>
                <a:cubicBezTo>
                  <a:pt x="36" y="9"/>
                  <a:pt x="58" y="15"/>
                  <a:pt x="85" y="26"/>
                </a:cubicBezTo>
                <a:cubicBezTo>
                  <a:pt x="112" y="37"/>
                  <a:pt x="167" y="63"/>
                  <a:pt x="184" y="70"/>
                </a:cubicBezTo>
              </a:path>
            </a:pathLst>
          </a:custGeom>
          <a:noFill/>
          <a:ln w="9525">
            <a:solidFill>
              <a:srgbClr val="000000"/>
            </a:solidFill>
            <a:round/>
            <a:headEnd/>
            <a:tailEnd/>
          </a:ln>
        </xdr:spPr>
      </xdr:sp>
      <xdr:sp macro="" textlink="">
        <xdr:nvSpPr>
          <xdr:cNvPr id="32" name="Line 31"/>
          <xdr:cNvSpPr>
            <a:spLocks noChangeShapeType="1"/>
          </xdr:cNvSpPr>
        </xdr:nvSpPr>
        <xdr:spPr bwMode="auto">
          <a:xfrm>
            <a:off x="982" y="1202"/>
            <a:ext cx="160" cy="0"/>
          </a:xfrm>
          <a:prstGeom prst="line">
            <a:avLst/>
          </a:prstGeom>
          <a:noFill/>
          <a:ln w="9525">
            <a:solidFill>
              <a:srgbClr val="000000"/>
            </a:solidFill>
            <a:round/>
            <a:headEnd type="triangle" w="sm" len="sm"/>
            <a:tailEnd type="triangle" w="sm" len="sm"/>
          </a:ln>
        </xdr:spPr>
      </xdr:sp>
      <xdr:sp macro="" textlink="">
        <xdr:nvSpPr>
          <xdr:cNvPr id="33" name="Line 32"/>
          <xdr:cNvSpPr>
            <a:spLocks noChangeShapeType="1"/>
          </xdr:cNvSpPr>
        </xdr:nvSpPr>
        <xdr:spPr bwMode="auto">
          <a:xfrm>
            <a:off x="1142" y="1202"/>
            <a:ext cx="303" cy="0"/>
          </a:xfrm>
          <a:prstGeom prst="line">
            <a:avLst/>
          </a:prstGeom>
          <a:noFill/>
          <a:ln w="9525">
            <a:solidFill>
              <a:srgbClr val="000000"/>
            </a:solidFill>
            <a:round/>
            <a:headEnd type="triangle" w="sm" len="sm"/>
            <a:tailEnd type="triangle" w="sm" len="sm"/>
          </a:ln>
        </xdr:spPr>
      </xdr:sp>
      <xdr:sp macro="" textlink="">
        <xdr:nvSpPr>
          <xdr:cNvPr id="34" name="Line 33"/>
          <xdr:cNvSpPr>
            <a:spLocks noChangeShapeType="1"/>
          </xdr:cNvSpPr>
        </xdr:nvSpPr>
        <xdr:spPr bwMode="auto">
          <a:xfrm flipH="1">
            <a:off x="797" y="1202"/>
            <a:ext cx="185" cy="0"/>
          </a:xfrm>
          <a:prstGeom prst="line">
            <a:avLst/>
          </a:prstGeom>
          <a:noFill/>
          <a:ln w="9525">
            <a:solidFill>
              <a:srgbClr val="000000"/>
            </a:solidFill>
            <a:round/>
            <a:headEnd type="triangle" w="sm" len="sm"/>
            <a:tailEnd type="triangle" w="sm" len="sm"/>
          </a:ln>
        </xdr:spPr>
      </xdr:sp>
      <xdr:sp macro="" textlink="">
        <xdr:nvSpPr>
          <xdr:cNvPr id="35" name="Line 34"/>
          <xdr:cNvSpPr>
            <a:spLocks noChangeShapeType="1"/>
          </xdr:cNvSpPr>
        </xdr:nvSpPr>
        <xdr:spPr bwMode="auto">
          <a:xfrm>
            <a:off x="982" y="1238"/>
            <a:ext cx="418" cy="0"/>
          </a:xfrm>
          <a:prstGeom prst="line">
            <a:avLst/>
          </a:prstGeom>
          <a:noFill/>
          <a:ln w="9525">
            <a:solidFill>
              <a:srgbClr val="000000"/>
            </a:solidFill>
            <a:round/>
            <a:headEnd type="triangle" w="sm" len="sm"/>
            <a:tailEnd type="triangle" w="sm" len="sm"/>
          </a:ln>
        </xdr:spPr>
      </xdr:sp>
      <xdr:sp macro="" textlink="">
        <xdr:nvSpPr>
          <xdr:cNvPr id="36" name="Line 35"/>
          <xdr:cNvSpPr>
            <a:spLocks noChangeShapeType="1"/>
          </xdr:cNvSpPr>
        </xdr:nvSpPr>
        <xdr:spPr bwMode="auto">
          <a:xfrm>
            <a:off x="982" y="1132"/>
            <a:ext cx="0" cy="36"/>
          </a:xfrm>
          <a:prstGeom prst="line">
            <a:avLst/>
          </a:prstGeom>
          <a:noFill/>
          <a:ln w="9525">
            <a:solidFill>
              <a:srgbClr val="000000"/>
            </a:solidFill>
            <a:round/>
            <a:headEnd type="triangle" w="sm" len="sm"/>
            <a:tailEnd type="triangle" w="sm" len="sm"/>
          </a:ln>
        </xdr:spPr>
      </xdr:sp>
      <xdr:sp macro="" textlink="">
        <xdr:nvSpPr>
          <xdr:cNvPr id="37" name="Freeform 36"/>
          <xdr:cNvSpPr>
            <a:spLocks/>
          </xdr:cNvSpPr>
        </xdr:nvSpPr>
        <xdr:spPr bwMode="auto">
          <a:xfrm>
            <a:off x="797" y="1038"/>
            <a:ext cx="648" cy="110"/>
          </a:xfrm>
          <a:custGeom>
            <a:avLst/>
            <a:gdLst>
              <a:gd name="T0" fmla="*/ 0 w 462"/>
              <a:gd name="T1" fmla="*/ 67 h 86"/>
              <a:gd name="T2" fmla="*/ 86 w 462"/>
              <a:gd name="T3" fmla="*/ 17 h 86"/>
              <a:gd name="T4" fmla="*/ 177 w 462"/>
              <a:gd name="T5" fmla="*/ 2 h 86"/>
              <a:gd name="T6" fmla="*/ 254 w 462"/>
              <a:gd name="T7" fmla="*/ 7 h 86"/>
              <a:gd name="T8" fmla="*/ 357 w 462"/>
              <a:gd name="T9" fmla="*/ 40 h 86"/>
              <a:gd name="T10" fmla="*/ 462 w 462"/>
              <a:gd name="T11" fmla="*/ 86 h 86"/>
              <a:gd name="T12" fmla="*/ 0 60000 65536"/>
              <a:gd name="T13" fmla="*/ 0 60000 65536"/>
              <a:gd name="T14" fmla="*/ 0 60000 65536"/>
              <a:gd name="T15" fmla="*/ 0 60000 65536"/>
              <a:gd name="T16" fmla="*/ 0 60000 65536"/>
              <a:gd name="T17" fmla="*/ 0 60000 65536"/>
              <a:gd name="T18" fmla="*/ 0 w 462"/>
              <a:gd name="T19" fmla="*/ 0 h 86"/>
              <a:gd name="T20" fmla="*/ 462 w 462"/>
              <a:gd name="T21" fmla="*/ 86 h 86"/>
            </a:gdLst>
            <a:ahLst/>
            <a:cxnLst>
              <a:cxn ang="T12">
                <a:pos x="T0" y="T1"/>
              </a:cxn>
              <a:cxn ang="T13">
                <a:pos x="T2" y="T3"/>
              </a:cxn>
              <a:cxn ang="T14">
                <a:pos x="T4" y="T5"/>
              </a:cxn>
              <a:cxn ang="T15">
                <a:pos x="T6" y="T7"/>
              </a:cxn>
              <a:cxn ang="T16">
                <a:pos x="T8" y="T9"/>
              </a:cxn>
              <a:cxn ang="T17">
                <a:pos x="T10" y="T11"/>
              </a:cxn>
            </a:cxnLst>
            <a:rect l="T18" t="T19" r="T20" b="T21"/>
            <a:pathLst>
              <a:path w="462" h="86">
                <a:moveTo>
                  <a:pt x="0" y="67"/>
                </a:moveTo>
                <a:cubicBezTo>
                  <a:pt x="28" y="47"/>
                  <a:pt x="57" y="28"/>
                  <a:pt x="86" y="17"/>
                </a:cubicBezTo>
                <a:cubicBezTo>
                  <a:pt x="115" y="6"/>
                  <a:pt x="149" y="4"/>
                  <a:pt x="177" y="2"/>
                </a:cubicBezTo>
                <a:cubicBezTo>
                  <a:pt x="205" y="0"/>
                  <a:pt x="224" y="1"/>
                  <a:pt x="254" y="7"/>
                </a:cubicBezTo>
                <a:cubicBezTo>
                  <a:pt x="284" y="13"/>
                  <a:pt x="322" y="27"/>
                  <a:pt x="357" y="40"/>
                </a:cubicBezTo>
                <a:cubicBezTo>
                  <a:pt x="392" y="53"/>
                  <a:pt x="445" y="78"/>
                  <a:pt x="462" y="86"/>
                </a:cubicBezTo>
              </a:path>
            </a:pathLst>
          </a:custGeom>
          <a:noFill/>
          <a:ln w="9525">
            <a:solidFill>
              <a:srgbClr val="000000"/>
            </a:solidFill>
            <a:round/>
            <a:headEnd/>
            <a:tailEnd/>
          </a:ln>
        </xdr:spPr>
      </xdr:sp>
      <xdr:sp macro="" textlink="">
        <xdr:nvSpPr>
          <xdr:cNvPr id="38" name="Line 37"/>
          <xdr:cNvSpPr>
            <a:spLocks noChangeShapeType="1"/>
          </xdr:cNvSpPr>
        </xdr:nvSpPr>
        <xdr:spPr bwMode="auto">
          <a:xfrm flipH="1">
            <a:off x="1299" y="1092"/>
            <a:ext cx="6" cy="13"/>
          </a:xfrm>
          <a:prstGeom prst="line">
            <a:avLst/>
          </a:prstGeom>
          <a:noFill/>
          <a:ln w="9525">
            <a:solidFill>
              <a:srgbClr val="000000"/>
            </a:solidFill>
            <a:round/>
            <a:headEnd type="triangle" w="sm" len="sm"/>
            <a:tailEnd type="triangle" w="sm" len="sm"/>
          </a:ln>
        </xdr:spPr>
      </xdr:sp>
      <xdr:sp macro="" textlink="">
        <xdr:nvSpPr>
          <xdr:cNvPr id="39" name="Line 38"/>
          <xdr:cNvSpPr>
            <a:spLocks noChangeShapeType="1"/>
          </xdr:cNvSpPr>
        </xdr:nvSpPr>
        <xdr:spPr bwMode="auto">
          <a:xfrm>
            <a:off x="1080" y="1039"/>
            <a:ext cx="0" cy="18"/>
          </a:xfrm>
          <a:prstGeom prst="line">
            <a:avLst/>
          </a:prstGeom>
          <a:noFill/>
          <a:ln w="9525">
            <a:solidFill>
              <a:srgbClr val="000000"/>
            </a:solidFill>
            <a:round/>
            <a:headEnd type="triangle" w="sm" len="sm"/>
            <a:tailEnd type="triangle" w="sm" len="sm"/>
          </a:ln>
        </xdr:spPr>
      </xdr:sp>
    </xdr:grpSp>
    <xdr:clientData/>
  </xdr:twoCellAnchor>
  <xdr:oneCellAnchor>
    <xdr:from>
      <xdr:col>14</xdr:col>
      <xdr:colOff>1065438</xdr:colOff>
      <xdr:row>30</xdr:row>
      <xdr:rowOff>89807</xdr:rowOff>
    </xdr:from>
    <xdr:ext cx="1672253" cy="165943"/>
    <xdr:sp macro="" textlink="">
      <xdr:nvSpPr>
        <xdr:cNvPr id="44" name="Text Box 46"/>
        <xdr:cNvSpPr txBox="1">
          <a:spLocks noChangeArrowheads="1"/>
        </xdr:cNvSpPr>
      </xdr:nvSpPr>
      <xdr:spPr bwMode="auto">
        <a:xfrm>
          <a:off x="11447688" y="5954486"/>
          <a:ext cx="1672253" cy="165943"/>
        </a:xfrm>
        <a:prstGeom prst="rect">
          <a:avLst/>
        </a:prstGeom>
        <a:noFill/>
        <a:ln w="9525">
          <a:noFill/>
          <a:miter lim="800000"/>
          <a:headEnd/>
          <a:tailEnd/>
        </a:ln>
      </xdr:spPr>
      <xdr:txBody>
        <a:bodyPr wrap="none" lIns="18288" tIns="18288" rIns="0" bIns="0" anchor="t" upright="1">
          <a:spAutoFit/>
        </a:bodyPr>
        <a:lstStyle/>
        <a:p>
          <a:pPr algn="l" rtl="0">
            <a:defRPr sz="1000"/>
          </a:pPr>
          <a:r>
            <a:rPr lang="en-US" sz="1000" b="1" i="0" u="none" strike="noStrike" baseline="0">
              <a:solidFill>
                <a:srgbClr val="000000"/>
              </a:solidFill>
              <a:latin typeface="Arial"/>
              <a:cs typeface="Arial"/>
            </a:rPr>
            <a:t>18 " at peak - top 6" topsoil</a:t>
          </a:r>
        </a:p>
      </xdr:txBody>
    </xdr:sp>
    <xdr:clientData/>
  </xdr:oneCellAnchor>
  <xdr:twoCellAnchor>
    <xdr:from>
      <xdr:col>16</xdr:col>
      <xdr:colOff>421821</xdr:colOff>
      <xdr:row>32</xdr:row>
      <xdr:rowOff>163286</xdr:rowOff>
    </xdr:from>
    <xdr:to>
      <xdr:col>17</xdr:col>
      <xdr:colOff>1156607</xdr:colOff>
      <xdr:row>34</xdr:row>
      <xdr:rowOff>0</xdr:rowOff>
    </xdr:to>
    <xdr:sp macro="" textlink="">
      <xdr:nvSpPr>
        <xdr:cNvPr id="42" name="TextBox 41"/>
        <xdr:cNvSpPr txBox="1"/>
      </xdr:nvSpPr>
      <xdr:spPr>
        <a:xfrm>
          <a:off x="13920107" y="7170965"/>
          <a:ext cx="1646464" cy="2585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12" cover - top 6" topsoil</a:t>
          </a:r>
        </a:p>
      </xdr:txBody>
    </xdr:sp>
    <xdr:clientData/>
  </xdr:twoCellAnchor>
  <xdr:twoCellAnchor editAs="oneCell">
    <xdr:from>
      <xdr:col>12</xdr:col>
      <xdr:colOff>341080</xdr:colOff>
      <xdr:row>72</xdr:row>
      <xdr:rowOff>108112</xdr:rowOff>
    </xdr:from>
    <xdr:to>
      <xdr:col>19</xdr:col>
      <xdr:colOff>745052</xdr:colOff>
      <xdr:row>96</xdr:row>
      <xdr:rowOff>171975</xdr:rowOff>
    </xdr:to>
    <xdr:pic>
      <xdr:nvPicPr>
        <xdr:cNvPr id="45" name="Picture 44" descr="D-34.JPG"/>
        <xdr:cNvPicPr>
          <a:picLocks noChangeAspect="1"/>
        </xdr:cNvPicPr>
      </xdr:nvPicPr>
      <xdr:blipFill>
        <a:blip xmlns:r="http://schemas.openxmlformats.org/officeDocument/2006/relationships" r:embed="rId1" cstate="print"/>
        <a:stretch>
          <a:fillRect/>
        </a:stretch>
      </xdr:blipFill>
      <xdr:spPr>
        <a:xfrm>
          <a:off x="9633247" y="15453945"/>
          <a:ext cx="8373222" cy="4593529"/>
        </a:xfrm>
        <a:prstGeom prst="rect">
          <a:avLst/>
        </a:prstGeom>
      </xdr:spPr>
    </xdr:pic>
    <xdr:clientData/>
  </xdr:twoCellAnchor>
  <xdr:twoCellAnchor>
    <xdr:from>
      <xdr:col>11</xdr:col>
      <xdr:colOff>258535</xdr:colOff>
      <xdr:row>35</xdr:row>
      <xdr:rowOff>176894</xdr:rowOff>
    </xdr:from>
    <xdr:to>
      <xdr:col>13</xdr:col>
      <xdr:colOff>435428</xdr:colOff>
      <xdr:row>36</xdr:row>
      <xdr:rowOff>217715</xdr:rowOff>
    </xdr:to>
    <xdr:sp macro="" textlink="">
      <xdr:nvSpPr>
        <xdr:cNvPr id="70" name="TextBox 69"/>
        <xdr:cNvSpPr txBox="1"/>
      </xdr:nvSpPr>
      <xdr:spPr>
        <a:xfrm>
          <a:off x="8749392" y="7878537"/>
          <a:ext cx="1455965" cy="244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a:latin typeface="Arial" pitchFamily="34" charset="0"/>
              <a:cs typeface="Arial" pitchFamily="34" charset="0"/>
            </a:rPr>
            <a:t>Restrictive Layer</a:t>
          </a:r>
        </a:p>
      </xdr:txBody>
    </xdr:sp>
    <xdr:clientData/>
  </xdr:twoCellAnchor>
  <xdr:twoCellAnchor>
    <xdr:from>
      <xdr:col>11</xdr:col>
      <xdr:colOff>648604</xdr:colOff>
      <xdr:row>34</xdr:row>
      <xdr:rowOff>77105</xdr:rowOff>
    </xdr:from>
    <xdr:to>
      <xdr:col>13</xdr:col>
      <xdr:colOff>621389</xdr:colOff>
      <xdr:row>35</xdr:row>
      <xdr:rowOff>84665</xdr:rowOff>
    </xdr:to>
    <xdr:sp macro="" textlink="">
      <xdr:nvSpPr>
        <xdr:cNvPr id="71" name="TextBox 70"/>
        <xdr:cNvSpPr txBox="1"/>
      </xdr:nvSpPr>
      <xdr:spPr>
        <a:xfrm>
          <a:off x="9147021" y="7496022"/>
          <a:ext cx="1263951"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a:latin typeface="Arial" pitchFamily="34" charset="0"/>
              <a:cs typeface="Arial" pitchFamily="34" charset="0"/>
            </a:rPr>
            <a:t>Original</a:t>
          </a:r>
          <a:r>
            <a:rPr lang="en-US" sz="1200" b="1" baseline="0">
              <a:latin typeface="Arial" pitchFamily="34" charset="0"/>
              <a:cs typeface="Arial" pitchFamily="34" charset="0"/>
            </a:rPr>
            <a:t> grade</a:t>
          </a:r>
          <a:endParaRPr lang="en-US" sz="1200" b="1">
            <a:latin typeface="Arial" pitchFamily="34" charset="0"/>
            <a:cs typeface="Arial" pitchFamily="34" charset="0"/>
          </a:endParaRPr>
        </a:p>
      </xdr:txBody>
    </xdr:sp>
    <xdr:clientData/>
  </xdr:twoCellAnchor>
  <xdr:twoCellAnchor editAs="oneCell">
    <xdr:from>
      <xdr:col>12</xdr:col>
      <xdr:colOff>313892</xdr:colOff>
      <xdr:row>53</xdr:row>
      <xdr:rowOff>52917</xdr:rowOff>
    </xdr:from>
    <xdr:to>
      <xdr:col>18</xdr:col>
      <xdr:colOff>230094</xdr:colOff>
      <xdr:row>71</xdr:row>
      <xdr:rowOff>105834</xdr:rowOff>
    </xdr:to>
    <xdr:pic>
      <xdr:nvPicPr>
        <xdr:cNvPr id="46" name="Picture 45" descr="D-33.JPG"/>
        <xdr:cNvPicPr>
          <a:picLocks noChangeAspect="1"/>
        </xdr:cNvPicPr>
      </xdr:nvPicPr>
      <xdr:blipFill>
        <a:blip xmlns:r="http://schemas.openxmlformats.org/officeDocument/2006/relationships" r:embed="rId2" cstate="print"/>
        <a:stretch>
          <a:fillRect/>
        </a:stretch>
      </xdr:blipFill>
      <xdr:spPr>
        <a:xfrm>
          <a:off x="9606059" y="11715750"/>
          <a:ext cx="6319119" cy="35454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38</xdr:row>
      <xdr:rowOff>95250</xdr:rowOff>
    </xdr:from>
    <xdr:to>
      <xdr:col>15</xdr:col>
      <xdr:colOff>0</xdr:colOff>
      <xdr:row>47</xdr:row>
      <xdr:rowOff>133350</xdr:rowOff>
    </xdr:to>
    <xdr:sp macro="" textlink="">
      <xdr:nvSpPr>
        <xdr:cNvPr id="2" name="Line 77"/>
        <xdr:cNvSpPr>
          <a:spLocks noChangeShapeType="1"/>
        </xdr:cNvSpPr>
      </xdr:nvSpPr>
      <xdr:spPr bwMode="auto">
        <a:xfrm>
          <a:off x="11306175" y="7458075"/>
          <a:ext cx="0" cy="1704975"/>
        </a:xfrm>
        <a:prstGeom prst="line">
          <a:avLst/>
        </a:prstGeom>
        <a:noFill/>
        <a:ln w="9525">
          <a:solidFill>
            <a:srgbClr val="000000"/>
          </a:solidFill>
          <a:round/>
          <a:headEnd/>
          <a:tailEnd/>
        </a:ln>
      </xdr:spPr>
    </xdr:sp>
    <xdr:clientData/>
  </xdr:twoCellAnchor>
  <xdr:twoCellAnchor>
    <xdr:from>
      <xdr:col>12</xdr:col>
      <xdr:colOff>323850</xdr:colOff>
      <xdr:row>36</xdr:row>
      <xdr:rowOff>38101</xdr:rowOff>
    </xdr:from>
    <xdr:to>
      <xdr:col>12</xdr:col>
      <xdr:colOff>323850</xdr:colOff>
      <xdr:row>47</xdr:row>
      <xdr:rowOff>123826</xdr:rowOff>
    </xdr:to>
    <xdr:sp macro="" textlink="">
      <xdr:nvSpPr>
        <xdr:cNvPr id="3" name="Line 78"/>
        <xdr:cNvSpPr>
          <a:spLocks noChangeShapeType="1"/>
        </xdr:cNvSpPr>
      </xdr:nvSpPr>
      <xdr:spPr bwMode="auto">
        <a:xfrm>
          <a:off x="9439275" y="7077076"/>
          <a:ext cx="0" cy="2076450"/>
        </a:xfrm>
        <a:prstGeom prst="line">
          <a:avLst/>
        </a:prstGeom>
        <a:noFill/>
        <a:ln w="9525">
          <a:solidFill>
            <a:srgbClr val="000000"/>
          </a:solidFill>
          <a:round/>
          <a:headEnd/>
          <a:tailEnd/>
        </a:ln>
      </xdr:spPr>
    </xdr:sp>
    <xdr:clientData/>
  </xdr:twoCellAnchor>
  <xdr:twoCellAnchor>
    <xdr:from>
      <xdr:col>17</xdr:col>
      <xdr:colOff>447675</xdr:colOff>
      <xdr:row>40</xdr:row>
      <xdr:rowOff>81644</xdr:rowOff>
    </xdr:from>
    <xdr:to>
      <xdr:col>18</xdr:col>
      <xdr:colOff>13607</xdr:colOff>
      <xdr:row>43</xdr:row>
      <xdr:rowOff>133351</xdr:rowOff>
    </xdr:to>
    <xdr:sp macro="" textlink="">
      <xdr:nvSpPr>
        <xdr:cNvPr id="4" name="Line 79"/>
        <xdr:cNvSpPr>
          <a:spLocks noChangeShapeType="1"/>
        </xdr:cNvSpPr>
      </xdr:nvSpPr>
      <xdr:spPr bwMode="auto">
        <a:xfrm flipH="1">
          <a:off x="13524139" y="7905751"/>
          <a:ext cx="14968" cy="541564"/>
        </a:xfrm>
        <a:prstGeom prst="line">
          <a:avLst/>
        </a:prstGeom>
        <a:noFill/>
        <a:ln w="9525">
          <a:solidFill>
            <a:srgbClr val="000000"/>
          </a:solidFill>
          <a:round/>
          <a:headEnd/>
          <a:tailEnd/>
        </a:ln>
      </xdr:spPr>
    </xdr:sp>
    <xdr:clientData/>
  </xdr:twoCellAnchor>
  <xdr:twoCellAnchor>
    <xdr:from>
      <xdr:col>20</xdr:col>
      <xdr:colOff>180975</xdr:colOff>
      <xdr:row>42</xdr:row>
      <xdr:rowOff>76200</xdr:rowOff>
    </xdr:from>
    <xdr:to>
      <xdr:col>20</xdr:col>
      <xdr:colOff>180975</xdr:colOff>
      <xdr:row>47</xdr:row>
      <xdr:rowOff>171450</xdr:rowOff>
    </xdr:to>
    <xdr:sp macro="" textlink="">
      <xdr:nvSpPr>
        <xdr:cNvPr id="5" name="Line 80"/>
        <xdr:cNvSpPr>
          <a:spLocks noChangeShapeType="1"/>
        </xdr:cNvSpPr>
      </xdr:nvSpPr>
      <xdr:spPr bwMode="auto">
        <a:xfrm>
          <a:off x="15592425" y="8134350"/>
          <a:ext cx="0" cy="1066800"/>
        </a:xfrm>
        <a:prstGeom prst="line">
          <a:avLst/>
        </a:prstGeom>
        <a:noFill/>
        <a:ln w="9525">
          <a:solidFill>
            <a:srgbClr val="000000"/>
          </a:solidFill>
          <a:round/>
          <a:headEnd/>
          <a:tailEnd/>
        </a:ln>
      </xdr:spPr>
    </xdr:sp>
    <xdr:clientData/>
  </xdr:twoCellAnchor>
  <xdr:twoCellAnchor>
    <xdr:from>
      <xdr:col>12</xdr:col>
      <xdr:colOff>333375</xdr:colOff>
      <xdr:row>47</xdr:row>
      <xdr:rowOff>114300</xdr:rowOff>
    </xdr:from>
    <xdr:to>
      <xdr:col>14</xdr:col>
      <xdr:colOff>523875</xdr:colOff>
      <xdr:row>47</xdr:row>
      <xdr:rowOff>114300</xdr:rowOff>
    </xdr:to>
    <xdr:sp macro="" textlink="">
      <xdr:nvSpPr>
        <xdr:cNvPr id="6" name="Line 81"/>
        <xdr:cNvSpPr>
          <a:spLocks noChangeShapeType="1"/>
        </xdr:cNvSpPr>
      </xdr:nvSpPr>
      <xdr:spPr bwMode="auto">
        <a:xfrm>
          <a:off x="9448800" y="9144000"/>
          <a:ext cx="1838325" cy="0"/>
        </a:xfrm>
        <a:prstGeom prst="line">
          <a:avLst/>
        </a:prstGeom>
        <a:noFill/>
        <a:ln w="9525">
          <a:solidFill>
            <a:srgbClr val="000000"/>
          </a:solidFill>
          <a:round/>
          <a:headEnd type="triangle" w="med" len="med"/>
          <a:tailEnd type="triangle" w="med" len="med"/>
        </a:ln>
      </xdr:spPr>
    </xdr:sp>
    <xdr:clientData/>
  </xdr:twoCellAnchor>
  <xdr:twoCellAnchor>
    <xdr:from>
      <xdr:col>14</xdr:col>
      <xdr:colOff>752475</xdr:colOff>
      <xdr:row>43</xdr:row>
      <xdr:rowOff>85725</xdr:rowOff>
    </xdr:from>
    <xdr:to>
      <xdr:col>17</xdr:col>
      <xdr:colOff>523875</xdr:colOff>
      <xdr:row>43</xdr:row>
      <xdr:rowOff>85725</xdr:rowOff>
    </xdr:to>
    <xdr:sp macro="" textlink="">
      <xdr:nvSpPr>
        <xdr:cNvPr id="7" name="Line 82"/>
        <xdr:cNvSpPr>
          <a:spLocks noChangeShapeType="1"/>
        </xdr:cNvSpPr>
      </xdr:nvSpPr>
      <xdr:spPr bwMode="auto">
        <a:xfrm>
          <a:off x="2447925" y="17564100"/>
          <a:ext cx="2619375" cy="0"/>
        </a:xfrm>
        <a:prstGeom prst="line">
          <a:avLst/>
        </a:prstGeom>
        <a:noFill/>
        <a:ln w="9525">
          <a:solidFill>
            <a:srgbClr val="000000"/>
          </a:solidFill>
          <a:round/>
          <a:headEnd type="triangle" w="med" len="med"/>
          <a:tailEnd type="triangle" w="med" len="med"/>
        </a:ln>
      </xdr:spPr>
    </xdr:sp>
    <xdr:clientData/>
  </xdr:twoCellAnchor>
  <xdr:twoCellAnchor>
    <xdr:from>
      <xdr:col>14</xdr:col>
      <xdr:colOff>514351</xdr:colOff>
      <xdr:row>47</xdr:row>
      <xdr:rowOff>114300</xdr:rowOff>
    </xdr:from>
    <xdr:to>
      <xdr:col>20</xdr:col>
      <xdr:colOff>180975</xdr:colOff>
      <xdr:row>47</xdr:row>
      <xdr:rowOff>161925</xdr:rowOff>
    </xdr:to>
    <xdr:sp macro="" textlink="">
      <xdr:nvSpPr>
        <xdr:cNvPr id="8" name="Line 83"/>
        <xdr:cNvSpPr>
          <a:spLocks noChangeShapeType="1"/>
        </xdr:cNvSpPr>
      </xdr:nvSpPr>
      <xdr:spPr bwMode="auto">
        <a:xfrm>
          <a:off x="11277601" y="9144000"/>
          <a:ext cx="4314824" cy="47625"/>
        </a:xfrm>
        <a:prstGeom prst="line">
          <a:avLst/>
        </a:prstGeom>
        <a:noFill/>
        <a:ln w="9525">
          <a:solidFill>
            <a:srgbClr val="000000"/>
          </a:solidFill>
          <a:round/>
          <a:headEnd type="triangle" w="med" len="med"/>
          <a:tailEnd type="triangle" w="med" len="med"/>
        </a:ln>
      </xdr:spPr>
    </xdr:sp>
    <xdr:clientData/>
  </xdr:twoCellAnchor>
  <xdr:twoCellAnchor>
    <xdr:from>
      <xdr:col>12</xdr:col>
      <xdr:colOff>323850</xdr:colOff>
      <xdr:row>28</xdr:row>
      <xdr:rowOff>190500</xdr:rowOff>
    </xdr:from>
    <xdr:to>
      <xdr:col>20</xdr:col>
      <xdr:colOff>200025</xdr:colOff>
      <xdr:row>42</xdr:row>
      <xdr:rowOff>85726</xdr:rowOff>
    </xdr:to>
    <xdr:sp macro="" textlink="">
      <xdr:nvSpPr>
        <xdr:cNvPr id="9" name="Freeform 86"/>
        <xdr:cNvSpPr>
          <a:spLocks/>
        </xdr:cNvSpPr>
      </xdr:nvSpPr>
      <xdr:spPr bwMode="auto">
        <a:xfrm>
          <a:off x="9439275" y="5848350"/>
          <a:ext cx="6172200" cy="2295526"/>
        </a:xfrm>
        <a:custGeom>
          <a:avLst/>
          <a:gdLst>
            <a:gd name="T0" fmla="*/ 0 w 573"/>
            <a:gd name="T1" fmla="*/ 113 h 215"/>
            <a:gd name="T2" fmla="*/ 182 w 573"/>
            <a:gd name="T3" fmla="*/ 13 h 215"/>
            <a:gd name="T4" fmla="*/ 293 w 573"/>
            <a:gd name="T5" fmla="*/ 36 h 215"/>
            <a:gd name="T6" fmla="*/ 573 w 573"/>
            <a:gd name="T7" fmla="*/ 215 h 215"/>
            <a:gd name="T8" fmla="*/ 0 60000 65536"/>
            <a:gd name="T9" fmla="*/ 0 60000 65536"/>
            <a:gd name="T10" fmla="*/ 0 60000 65536"/>
            <a:gd name="T11" fmla="*/ 0 60000 65536"/>
            <a:gd name="T12" fmla="*/ 0 w 573"/>
            <a:gd name="T13" fmla="*/ 0 h 215"/>
            <a:gd name="T14" fmla="*/ 573 w 573"/>
            <a:gd name="T15" fmla="*/ 215 h 215"/>
          </a:gdLst>
          <a:ahLst/>
          <a:cxnLst>
            <a:cxn ang="T8">
              <a:pos x="T0" y="T1"/>
            </a:cxn>
            <a:cxn ang="T9">
              <a:pos x="T2" y="T3"/>
            </a:cxn>
            <a:cxn ang="T10">
              <a:pos x="T4" y="T5"/>
            </a:cxn>
            <a:cxn ang="T11">
              <a:pos x="T6" y="T7"/>
            </a:cxn>
          </a:cxnLst>
          <a:rect l="T12" t="T13" r="T14" b="T15"/>
          <a:pathLst>
            <a:path w="573" h="215">
              <a:moveTo>
                <a:pt x="0" y="113"/>
              </a:moveTo>
              <a:cubicBezTo>
                <a:pt x="66" y="69"/>
                <a:pt x="133" y="26"/>
                <a:pt x="182" y="13"/>
              </a:cubicBezTo>
              <a:cubicBezTo>
                <a:pt x="231" y="0"/>
                <a:pt x="228" y="2"/>
                <a:pt x="293" y="36"/>
              </a:cubicBezTo>
              <a:cubicBezTo>
                <a:pt x="358" y="70"/>
                <a:pt x="465" y="142"/>
                <a:pt x="573" y="215"/>
              </a:cubicBezTo>
            </a:path>
          </a:pathLst>
        </a:custGeom>
        <a:solidFill>
          <a:srgbClr val="C0C0C0"/>
        </a:solidFill>
        <a:ln w="9525" cap="flat" cmpd="sng">
          <a:solidFill>
            <a:srgbClr val="000000"/>
          </a:solidFill>
          <a:prstDash val="solid"/>
          <a:round/>
          <a:headEnd type="none" w="med" len="med"/>
          <a:tailEnd type="none" w="med" len="med"/>
        </a:ln>
      </xdr:spPr>
    </xdr:sp>
    <xdr:clientData/>
  </xdr:twoCellAnchor>
  <xdr:twoCellAnchor>
    <xdr:from>
      <xdr:col>13</xdr:col>
      <xdr:colOff>697213</xdr:colOff>
      <xdr:row>31</xdr:row>
      <xdr:rowOff>94549</xdr:rowOff>
    </xdr:from>
    <xdr:to>
      <xdr:col>17</xdr:col>
      <xdr:colOff>442776</xdr:colOff>
      <xdr:row>41</xdr:row>
      <xdr:rowOff>37041</xdr:rowOff>
    </xdr:to>
    <xdr:sp macro="" textlink="">
      <xdr:nvSpPr>
        <xdr:cNvPr id="10" name="Freeform 87"/>
        <xdr:cNvSpPr>
          <a:spLocks/>
        </xdr:cNvSpPr>
      </xdr:nvSpPr>
      <xdr:spPr bwMode="auto">
        <a:xfrm rot="21348862">
          <a:off x="10344677" y="6381049"/>
          <a:ext cx="3174563" cy="1643385"/>
        </a:xfrm>
        <a:custGeom>
          <a:avLst/>
          <a:gdLst>
            <a:gd name="T0" fmla="*/ 0 w 390"/>
            <a:gd name="T1" fmla="*/ 73 h 143"/>
            <a:gd name="T2" fmla="*/ 116 w 390"/>
            <a:gd name="T3" fmla="*/ 12 h 143"/>
            <a:gd name="T4" fmla="*/ 390 w 390"/>
            <a:gd name="T5" fmla="*/ 143 h 143"/>
            <a:gd name="T6" fmla="*/ 0 60000 65536"/>
            <a:gd name="T7" fmla="*/ 0 60000 65536"/>
            <a:gd name="T8" fmla="*/ 0 60000 65536"/>
            <a:gd name="T9" fmla="*/ 0 w 390"/>
            <a:gd name="T10" fmla="*/ 0 h 143"/>
            <a:gd name="T11" fmla="*/ 390 w 390"/>
            <a:gd name="T12" fmla="*/ 143 h 143"/>
          </a:gdLst>
          <a:ahLst/>
          <a:cxnLst>
            <a:cxn ang="T6">
              <a:pos x="T0" y="T1"/>
            </a:cxn>
            <a:cxn ang="T7">
              <a:pos x="T2" y="T3"/>
            </a:cxn>
            <a:cxn ang="T8">
              <a:pos x="T4" y="T5"/>
            </a:cxn>
          </a:cxnLst>
          <a:rect l="T9" t="T10" r="T11" b="T12"/>
          <a:pathLst>
            <a:path w="390" h="143">
              <a:moveTo>
                <a:pt x="0" y="73"/>
              </a:moveTo>
              <a:cubicBezTo>
                <a:pt x="25" y="36"/>
                <a:pt x="51" y="0"/>
                <a:pt x="116" y="12"/>
              </a:cubicBezTo>
              <a:cubicBezTo>
                <a:pt x="181" y="24"/>
                <a:pt x="285" y="83"/>
                <a:pt x="390" y="143"/>
              </a:cubicBezTo>
            </a:path>
          </a:pathLst>
        </a:custGeom>
        <a:solidFill>
          <a:srgbClr val="FFFFFF"/>
        </a:solidFill>
        <a:ln w="9525" cap="flat" cmpd="sng">
          <a:solidFill>
            <a:srgbClr val="000000"/>
          </a:solidFill>
          <a:prstDash val="solid"/>
          <a:round/>
          <a:headEnd type="none" w="med" len="med"/>
          <a:tailEnd type="none" w="med" len="med"/>
        </a:ln>
      </xdr:spPr>
    </xdr:sp>
    <xdr:clientData/>
  </xdr:twoCellAnchor>
  <xdr:twoCellAnchor>
    <xdr:from>
      <xdr:col>14</xdr:col>
      <xdr:colOff>542924</xdr:colOff>
      <xdr:row>35</xdr:row>
      <xdr:rowOff>57150</xdr:rowOff>
    </xdr:from>
    <xdr:to>
      <xdr:col>14</xdr:col>
      <xdr:colOff>544285</xdr:colOff>
      <xdr:row>37</xdr:row>
      <xdr:rowOff>122465</xdr:rowOff>
    </xdr:to>
    <xdr:sp macro="" textlink="">
      <xdr:nvSpPr>
        <xdr:cNvPr id="11" name="Line 88"/>
        <xdr:cNvSpPr>
          <a:spLocks noChangeShapeType="1"/>
        </xdr:cNvSpPr>
      </xdr:nvSpPr>
      <xdr:spPr bwMode="auto">
        <a:xfrm>
          <a:off x="11061245" y="6955971"/>
          <a:ext cx="1361" cy="432708"/>
        </a:xfrm>
        <a:prstGeom prst="line">
          <a:avLst/>
        </a:prstGeom>
        <a:noFill/>
        <a:ln w="9525">
          <a:solidFill>
            <a:srgbClr val="000000"/>
          </a:solidFill>
          <a:round/>
          <a:headEnd type="triangle" w="med" len="med"/>
          <a:tailEnd type="triangle" w="med" len="med"/>
        </a:ln>
      </xdr:spPr>
    </xdr:sp>
    <xdr:clientData/>
  </xdr:twoCellAnchor>
  <xdr:twoCellAnchor>
    <xdr:from>
      <xdr:col>15</xdr:col>
      <xdr:colOff>314325</xdr:colOff>
      <xdr:row>29</xdr:row>
      <xdr:rowOff>123825</xdr:rowOff>
    </xdr:from>
    <xdr:to>
      <xdr:col>15</xdr:col>
      <xdr:colOff>314325</xdr:colOff>
      <xdr:row>33</xdr:row>
      <xdr:rowOff>104775</xdr:rowOff>
    </xdr:to>
    <xdr:sp macro="" textlink="">
      <xdr:nvSpPr>
        <xdr:cNvPr id="12" name="Line 89"/>
        <xdr:cNvSpPr>
          <a:spLocks noChangeShapeType="1"/>
        </xdr:cNvSpPr>
      </xdr:nvSpPr>
      <xdr:spPr bwMode="auto">
        <a:xfrm>
          <a:off x="11620500" y="5981700"/>
          <a:ext cx="0" cy="676275"/>
        </a:xfrm>
        <a:prstGeom prst="line">
          <a:avLst/>
        </a:prstGeom>
        <a:noFill/>
        <a:ln w="8890">
          <a:solidFill>
            <a:srgbClr val="000000"/>
          </a:solidFill>
          <a:round/>
          <a:headEnd type="triangle" w="med" len="med"/>
          <a:tailEnd type="triangle" w="med" len="med"/>
        </a:ln>
      </xdr:spPr>
    </xdr:sp>
    <xdr:clientData/>
  </xdr:twoCellAnchor>
  <xdr:twoCellAnchor>
    <xdr:from>
      <xdr:col>14</xdr:col>
      <xdr:colOff>447675</xdr:colOff>
      <xdr:row>34</xdr:row>
      <xdr:rowOff>1</xdr:rowOff>
    </xdr:from>
    <xdr:to>
      <xdr:col>15</xdr:col>
      <xdr:colOff>85724</xdr:colOff>
      <xdr:row>35</xdr:row>
      <xdr:rowOff>19050</xdr:rowOff>
    </xdr:to>
    <xdr:sp macro="" textlink="">
      <xdr:nvSpPr>
        <xdr:cNvPr id="13" name="Oval 90"/>
        <xdr:cNvSpPr>
          <a:spLocks noChangeArrowheads="1"/>
        </xdr:cNvSpPr>
      </xdr:nvSpPr>
      <xdr:spPr bwMode="auto">
        <a:xfrm flipH="1">
          <a:off x="11210925" y="6715126"/>
          <a:ext cx="180974" cy="180974"/>
        </a:xfrm>
        <a:prstGeom prst="ellipse">
          <a:avLst/>
        </a:prstGeom>
        <a:solidFill>
          <a:srgbClr val="FFFFFF"/>
        </a:solidFill>
        <a:ln w="9525">
          <a:solidFill>
            <a:srgbClr val="000000"/>
          </a:solidFill>
          <a:round/>
          <a:headEnd/>
          <a:tailEnd/>
        </a:ln>
      </xdr:spPr>
    </xdr:sp>
    <xdr:clientData/>
  </xdr:twoCellAnchor>
  <xdr:twoCellAnchor>
    <xdr:from>
      <xdr:col>15</xdr:col>
      <xdr:colOff>1442357</xdr:colOff>
      <xdr:row>28</xdr:row>
      <xdr:rowOff>119743</xdr:rowOff>
    </xdr:from>
    <xdr:to>
      <xdr:col>15</xdr:col>
      <xdr:colOff>1541688</xdr:colOff>
      <xdr:row>39</xdr:row>
      <xdr:rowOff>5444</xdr:rowOff>
    </xdr:to>
    <xdr:sp macro="" textlink="">
      <xdr:nvSpPr>
        <xdr:cNvPr id="14" name="Rectangle 91"/>
        <xdr:cNvSpPr>
          <a:spLocks noChangeArrowheads="1"/>
        </xdr:cNvSpPr>
      </xdr:nvSpPr>
      <xdr:spPr bwMode="auto">
        <a:xfrm>
          <a:off x="12504964" y="5793922"/>
          <a:ext cx="99331" cy="1804308"/>
        </a:xfrm>
        <a:prstGeom prst="rect">
          <a:avLst/>
        </a:prstGeom>
        <a:solidFill>
          <a:srgbClr val="FFFFFF"/>
        </a:solidFill>
        <a:ln w="9525">
          <a:solidFill>
            <a:srgbClr val="000000"/>
          </a:solidFill>
          <a:miter lim="800000"/>
          <a:headEnd/>
          <a:tailEnd/>
        </a:ln>
      </xdr:spPr>
    </xdr:sp>
    <xdr:clientData/>
  </xdr:twoCellAnchor>
  <xdr:twoCellAnchor>
    <xdr:from>
      <xdr:col>12</xdr:col>
      <xdr:colOff>66675</xdr:colOff>
      <xdr:row>29</xdr:row>
      <xdr:rowOff>19050</xdr:rowOff>
    </xdr:from>
    <xdr:to>
      <xdr:col>13</xdr:col>
      <xdr:colOff>476250</xdr:colOff>
      <xdr:row>34</xdr:row>
      <xdr:rowOff>76200</xdr:rowOff>
    </xdr:to>
    <xdr:sp macro="" textlink="">
      <xdr:nvSpPr>
        <xdr:cNvPr id="15" name="AutoShape 92"/>
        <xdr:cNvSpPr>
          <a:spLocks/>
        </xdr:cNvSpPr>
      </xdr:nvSpPr>
      <xdr:spPr bwMode="auto">
        <a:xfrm>
          <a:off x="9182100" y="5876925"/>
          <a:ext cx="1228725" cy="914400"/>
        </a:xfrm>
        <a:prstGeom prst="callout1">
          <a:avLst>
            <a:gd name="adj1" fmla="val 33426"/>
            <a:gd name="adj2" fmla="val 95930"/>
            <a:gd name="adj3" fmla="val 90717"/>
            <a:gd name="adj4" fmla="val 165383"/>
          </a:avLst>
        </a:prstGeom>
        <a:noFill/>
        <a:ln w="9525">
          <a:solidFill>
            <a:srgbClr val="000000"/>
          </a:solidFill>
          <a:miter lim="800000"/>
          <a:headEnd/>
          <a:tailEnd type="triangle" w="med" len="me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Minimum of 2 inches of rock above and around pipe</a:t>
          </a:r>
        </a:p>
      </xdr:txBody>
    </xdr:sp>
    <xdr:clientData/>
  </xdr:twoCellAnchor>
  <xdr:oneCellAnchor>
    <xdr:from>
      <xdr:col>15</xdr:col>
      <xdr:colOff>28575</xdr:colOff>
      <xdr:row>35</xdr:row>
      <xdr:rowOff>114300</xdr:rowOff>
    </xdr:from>
    <xdr:ext cx="816377" cy="318036"/>
    <xdr:sp macro="" textlink="">
      <xdr:nvSpPr>
        <xdr:cNvPr id="16" name="Text Box 93"/>
        <xdr:cNvSpPr txBox="1">
          <a:spLocks noChangeArrowheads="1"/>
        </xdr:cNvSpPr>
      </xdr:nvSpPr>
      <xdr:spPr bwMode="auto">
        <a:xfrm>
          <a:off x="11315700" y="6991350"/>
          <a:ext cx="816377" cy="318036"/>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9 inches </a:t>
          </a:r>
        </a:p>
        <a:p>
          <a:pPr algn="l" rtl="0">
            <a:defRPr sz="1000"/>
          </a:pPr>
          <a:r>
            <a:rPr lang="en-US" sz="1000" b="0" i="0" u="none" strike="noStrike" baseline="0">
              <a:solidFill>
                <a:srgbClr val="000000"/>
              </a:solidFill>
              <a:latin typeface="Arial"/>
              <a:cs typeface="Arial"/>
            </a:rPr>
            <a:t>rock minimum</a:t>
          </a:r>
        </a:p>
      </xdr:txBody>
    </xdr:sp>
    <xdr:clientData/>
  </xdr:oneCellAnchor>
  <xdr:oneCellAnchor>
    <xdr:from>
      <xdr:col>13</xdr:col>
      <xdr:colOff>371475</xdr:colOff>
      <xdr:row>26</xdr:row>
      <xdr:rowOff>171450</xdr:rowOff>
    </xdr:from>
    <xdr:ext cx="2313326" cy="318036"/>
    <xdr:sp macro="" textlink="">
      <xdr:nvSpPr>
        <xdr:cNvPr id="17" name="Text Box 95"/>
        <xdr:cNvSpPr txBox="1">
          <a:spLocks noChangeArrowheads="1"/>
        </xdr:cNvSpPr>
      </xdr:nvSpPr>
      <xdr:spPr bwMode="auto">
        <a:xfrm>
          <a:off x="10306050" y="5419725"/>
          <a:ext cx="2313326" cy="318036"/>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12 inches loamy or sandy cover material</a:t>
          </a:r>
        </a:p>
        <a:p>
          <a:pPr algn="l" rtl="0">
            <a:defRPr sz="1000"/>
          </a:pPr>
          <a:r>
            <a:rPr lang="en-US" sz="1000" b="0" i="0" u="none" strike="noStrike" baseline="0">
              <a:solidFill>
                <a:srgbClr val="000000"/>
              </a:solidFill>
              <a:latin typeface="Arial"/>
              <a:cs typeface="Arial"/>
            </a:rPr>
            <a:t>with the top 6 inches being topsoil</a:t>
          </a:r>
        </a:p>
      </xdr:txBody>
    </xdr:sp>
    <xdr:clientData/>
  </xdr:oneCellAnchor>
  <xdr:oneCellAnchor>
    <xdr:from>
      <xdr:col>18</xdr:col>
      <xdr:colOff>238125</xdr:colOff>
      <xdr:row>32</xdr:row>
      <xdr:rowOff>76200</xdr:rowOff>
    </xdr:from>
    <xdr:ext cx="1507977" cy="318036"/>
    <xdr:sp macro="" textlink="">
      <xdr:nvSpPr>
        <xdr:cNvPr id="18" name="Text Box 96"/>
        <xdr:cNvSpPr txBox="1">
          <a:spLocks noChangeArrowheads="1"/>
        </xdr:cNvSpPr>
      </xdr:nvSpPr>
      <xdr:spPr bwMode="auto">
        <a:xfrm>
          <a:off x="13735050" y="6467475"/>
          <a:ext cx="1507977" cy="318036"/>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4:1 Maximum Side Slopes</a:t>
          </a:r>
        </a:p>
        <a:p>
          <a:pPr algn="l" rtl="0">
            <a:defRPr sz="1000"/>
          </a:pPr>
          <a:endParaRPr lang="en-US" sz="1000" b="0" i="0" u="none" strike="noStrike" baseline="0">
            <a:solidFill>
              <a:srgbClr val="000000"/>
            </a:solidFill>
            <a:latin typeface="Arial"/>
            <a:cs typeface="Arial"/>
          </a:endParaRPr>
        </a:p>
      </xdr:txBody>
    </xdr:sp>
    <xdr:clientData/>
  </xdr:oneCellAnchor>
  <xdr:oneCellAnchor>
    <xdr:from>
      <xdr:col>16</xdr:col>
      <xdr:colOff>85725</xdr:colOff>
      <xdr:row>28</xdr:row>
      <xdr:rowOff>123825</xdr:rowOff>
    </xdr:from>
    <xdr:ext cx="1593385" cy="318036"/>
    <xdr:sp macro="" textlink="">
      <xdr:nvSpPr>
        <xdr:cNvPr id="19" name="Text Box 97"/>
        <xdr:cNvSpPr txBox="1">
          <a:spLocks noChangeArrowheads="1"/>
        </xdr:cNvSpPr>
      </xdr:nvSpPr>
      <xdr:spPr bwMode="auto">
        <a:xfrm>
          <a:off x="12277725" y="5781675"/>
          <a:ext cx="1593385" cy="318036"/>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1.5 inch minimum diameter </a:t>
          </a:r>
        </a:p>
        <a:p>
          <a:pPr algn="l" rtl="0">
            <a:defRPr sz="1000"/>
          </a:pPr>
          <a:r>
            <a:rPr lang="en-US" sz="1000" b="0" i="0" u="none" strike="noStrike" baseline="0">
              <a:solidFill>
                <a:srgbClr val="000000"/>
              </a:solidFill>
              <a:latin typeface="Arial"/>
              <a:cs typeface="Arial"/>
            </a:rPr>
            <a:t>inspection pipe - 3 required</a:t>
          </a:r>
        </a:p>
      </xdr:txBody>
    </xdr:sp>
    <xdr:clientData/>
  </xdr:oneCellAnchor>
  <xdr:twoCellAnchor>
    <xdr:from>
      <xdr:col>12</xdr:col>
      <xdr:colOff>323850</xdr:colOff>
      <xdr:row>36</xdr:row>
      <xdr:rowOff>15861</xdr:rowOff>
    </xdr:from>
    <xdr:to>
      <xdr:col>20</xdr:col>
      <xdr:colOff>200025</xdr:colOff>
      <xdr:row>42</xdr:row>
      <xdr:rowOff>85726</xdr:rowOff>
    </xdr:to>
    <xdr:cxnSp macro="">
      <xdr:nvCxnSpPr>
        <xdr:cNvPr id="20" name="AutoShape 99"/>
        <xdr:cNvCxnSpPr>
          <a:cxnSpLocks noChangeShapeType="1"/>
          <a:stCxn id="9" idx="0"/>
          <a:endCxn id="9" idx="3"/>
        </xdr:cNvCxnSpPr>
      </xdr:nvCxnSpPr>
      <xdr:spPr bwMode="auto">
        <a:xfrm>
          <a:off x="9439275" y="7054836"/>
          <a:ext cx="6172200" cy="1089040"/>
        </a:xfrm>
        <a:prstGeom prst="straightConnector1">
          <a:avLst/>
        </a:prstGeom>
        <a:noFill/>
        <a:ln w="9525">
          <a:solidFill>
            <a:srgbClr val="000000"/>
          </a:solidFill>
          <a:round/>
          <a:headEnd/>
          <a:tailEnd/>
        </a:ln>
      </xdr:spPr>
    </xdr:cxnSp>
    <xdr:clientData/>
  </xdr:twoCellAnchor>
  <xdr:twoCellAnchor>
    <xdr:from>
      <xdr:col>12</xdr:col>
      <xdr:colOff>85725</xdr:colOff>
      <xdr:row>2</xdr:row>
      <xdr:rowOff>152400</xdr:rowOff>
    </xdr:from>
    <xdr:to>
      <xdr:col>21</xdr:col>
      <xdr:colOff>400050</xdr:colOff>
      <xdr:row>22</xdr:row>
      <xdr:rowOff>142875</xdr:rowOff>
    </xdr:to>
    <xdr:sp macro="" textlink="">
      <xdr:nvSpPr>
        <xdr:cNvPr id="24" name="Rectangle 103"/>
        <xdr:cNvSpPr>
          <a:spLocks noChangeArrowheads="1"/>
        </xdr:cNvSpPr>
      </xdr:nvSpPr>
      <xdr:spPr bwMode="auto">
        <a:xfrm>
          <a:off x="333375" y="11087100"/>
          <a:ext cx="6286500" cy="3257550"/>
        </a:xfrm>
        <a:prstGeom prst="rect">
          <a:avLst/>
        </a:prstGeom>
        <a:noFill/>
        <a:ln w="9525">
          <a:solidFill>
            <a:srgbClr val="000000"/>
          </a:solidFill>
          <a:miter lim="800000"/>
          <a:headEnd/>
          <a:tailEnd/>
        </a:ln>
      </xdr:spPr>
    </xdr:sp>
    <xdr:clientData/>
  </xdr:twoCellAnchor>
  <xdr:twoCellAnchor>
    <xdr:from>
      <xdr:col>14</xdr:col>
      <xdr:colOff>361950</xdr:colOff>
      <xdr:row>6</xdr:row>
      <xdr:rowOff>152400</xdr:rowOff>
    </xdr:from>
    <xdr:to>
      <xdr:col>17</xdr:col>
      <xdr:colOff>542925</xdr:colOff>
      <xdr:row>12</xdr:row>
      <xdr:rowOff>38100</xdr:rowOff>
    </xdr:to>
    <xdr:sp macro="" textlink="">
      <xdr:nvSpPr>
        <xdr:cNvPr id="25" name="Rectangle 104"/>
        <xdr:cNvSpPr>
          <a:spLocks noChangeArrowheads="1"/>
        </xdr:cNvSpPr>
      </xdr:nvSpPr>
      <xdr:spPr bwMode="auto">
        <a:xfrm>
          <a:off x="2057400" y="11734800"/>
          <a:ext cx="3028950" cy="885825"/>
        </a:xfrm>
        <a:prstGeom prst="rect">
          <a:avLst/>
        </a:prstGeom>
        <a:no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590549</xdr:colOff>
      <xdr:row>3</xdr:row>
      <xdr:rowOff>123824</xdr:rowOff>
    </xdr:from>
    <xdr:to>
      <xdr:col>21</xdr:col>
      <xdr:colOff>180974</xdr:colOff>
      <xdr:row>16</xdr:row>
      <xdr:rowOff>145936</xdr:rowOff>
    </xdr:to>
    <xdr:pic>
      <xdr:nvPicPr>
        <xdr:cNvPr id="2" name="Picture 3" descr="Perfs"/>
        <xdr:cNvPicPr>
          <a:picLocks noChangeAspect="1" noChangeArrowheads="1"/>
        </xdr:cNvPicPr>
      </xdr:nvPicPr>
      <xdr:blipFill>
        <a:blip xmlns:r="http://schemas.openxmlformats.org/officeDocument/2006/relationships" r:embed="rId1" cstate="print"/>
        <a:srcRect/>
        <a:stretch>
          <a:fillRect/>
        </a:stretch>
      </xdr:blipFill>
      <xdr:spPr bwMode="auto">
        <a:xfrm>
          <a:off x="6715124" y="609599"/>
          <a:ext cx="6248401" cy="2181225"/>
        </a:xfrm>
        <a:prstGeom prst="rect">
          <a:avLst/>
        </a:prstGeom>
        <a:noFill/>
        <a:ln w="9525">
          <a:noFill/>
          <a:miter lim="800000"/>
          <a:headEnd/>
          <a:tailEnd/>
        </a:ln>
      </xdr:spPr>
    </xdr:pic>
    <xdr:clientData/>
  </xdr:twoCellAnchor>
  <xdr:twoCellAnchor editAs="oneCell">
    <xdr:from>
      <xdr:col>12</xdr:col>
      <xdr:colOff>742950</xdr:colOff>
      <xdr:row>62</xdr:row>
      <xdr:rowOff>95249</xdr:rowOff>
    </xdr:from>
    <xdr:to>
      <xdr:col>18</xdr:col>
      <xdr:colOff>304387</xdr:colOff>
      <xdr:row>70</xdr:row>
      <xdr:rowOff>86066</xdr:rowOff>
    </xdr:to>
    <xdr:pic>
      <xdr:nvPicPr>
        <xdr:cNvPr id="3" name="Picture 4" descr="E-02 manifold at end"/>
        <xdr:cNvPicPr>
          <a:picLocks noChangeAspect="1" noChangeArrowheads="1"/>
        </xdr:cNvPicPr>
      </xdr:nvPicPr>
      <xdr:blipFill>
        <a:blip xmlns:r="http://schemas.openxmlformats.org/officeDocument/2006/relationships" r:embed="rId2" cstate="print"/>
        <a:srcRect/>
        <a:stretch>
          <a:fillRect/>
        </a:stretch>
      </xdr:blipFill>
      <xdr:spPr bwMode="auto">
        <a:xfrm>
          <a:off x="6867525" y="10067924"/>
          <a:ext cx="4390613" cy="1447801"/>
        </a:xfrm>
        <a:prstGeom prst="rect">
          <a:avLst/>
        </a:prstGeom>
        <a:noFill/>
        <a:ln w="9525">
          <a:noFill/>
          <a:miter lim="800000"/>
          <a:headEnd/>
          <a:tailEnd/>
        </a:ln>
      </xdr:spPr>
    </xdr:pic>
    <xdr:clientData/>
  </xdr:twoCellAnchor>
  <xdr:twoCellAnchor editAs="oneCell">
    <xdr:from>
      <xdr:col>12</xdr:col>
      <xdr:colOff>781050</xdr:colOff>
      <xdr:row>73</xdr:row>
      <xdr:rowOff>104774</xdr:rowOff>
    </xdr:from>
    <xdr:to>
      <xdr:col>18</xdr:col>
      <xdr:colOff>132459</xdr:colOff>
      <xdr:row>82</xdr:row>
      <xdr:rowOff>59530</xdr:rowOff>
    </xdr:to>
    <xdr:pic>
      <xdr:nvPicPr>
        <xdr:cNvPr id="4" name="Picture 5" descr="E-03 manifold in center"/>
        <xdr:cNvPicPr>
          <a:picLocks noChangeAspect="1" noChangeArrowheads="1"/>
        </xdr:cNvPicPr>
      </xdr:nvPicPr>
      <xdr:blipFill>
        <a:blip xmlns:r="http://schemas.openxmlformats.org/officeDocument/2006/relationships" r:embed="rId3" cstate="print"/>
        <a:srcRect/>
        <a:stretch>
          <a:fillRect/>
        </a:stretch>
      </xdr:blipFill>
      <xdr:spPr bwMode="auto">
        <a:xfrm>
          <a:off x="6905625" y="11858624"/>
          <a:ext cx="4180585" cy="1514476"/>
        </a:xfrm>
        <a:prstGeom prst="rect">
          <a:avLst/>
        </a:prstGeom>
        <a:noFill/>
        <a:ln w="9525">
          <a:noFill/>
          <a:miter lim="800000"/>
          <a:headEnd/>
          <a:tailEnd/>
        </a:ln>
      </xdr:spPr>
    </xdr:pic>
    <xdr:clientData/>
  </xdr:twoCellAnchor>
  <xdr:twoCellAnchor editAs="oneCell">
    <xdr:from>
      <xdr:col>12</xdr:col>
      <xdr:colOff>704850</xdr:colOff>
      <xdr:row>47</xdr:row>
      <xdr:rowOff>9525</xdr:rowOff>
    </xdr:from>
    <xdr:to>
      <xdr:col>17</xdr:col>
      <xdr:colOff>66675</xdr:colOff>
      <xdr:row>58</xdr:row>
      <xdr:rowOff>209551</xdr:rowOff>
    </xdr:to>
    <xdr:pic>
      <xdr:nvPicPr>
        <xdr:cNvPr id="5" name="Picture 4" descr="E-6.JPG"/>
        <xdr:cNvPicPr>
          <a:picLocks noChangeAspect="1"/>
        </xdr:cNvPicPr>
      </xdr:nvPicPr>
      <xdr:blipFill>
        <a:blip xmlns:r="http://schemas.openxmlformats.org/officeDocument/2006/relationships" r:embed="rId4" cstate="print"/>
        <a:stretch>
          <a:fillRect/>
        </a:stretch>
      </xdr:blipFill>
      <xdr:spPr>
        <a:xfrm>
          <a:off x="6829425" y="7562850"/>
          <a:ext cx="3581400" cy="1990725"/>
        </a:xfrm>
        <a:prstGeom prst="rect">
          <a:avLst/>
        </a:prstGeom>
      </xdr:spPr>
    </xdr:pic>
    <xdr:clientData/>
  </xdr:twoCellAnchor>
  <xdr:twoCellAnchor editAs="oneCell">
    <xdr:from>
      <xdr:col>18</xdr:col>
      <xdr:colOff>440532</xdr:colOff>
      <xdr:row>60</xdr:row>
      <xdr:rowOff>47626</xdr:rowOff>
    </xdr:from>
    <xdr:to>
      <xdr:col>26</xdr:col>
      <xdr:colOff>78583</xdr:colOff>
      <xdr:row>72</xdr:row>
      <xdr:rowOff>100013</xdr:rowOff>
    </xdr:to>
    <xdr:pic>
      <xdr:nvPicPr>
        <xdr:cNvPr id="6" name="Picture 5" descr="E-4.JPG"/>
        <xdr:cNvPicPr>
          <a:picLocks noChangeAspect="1"/>
        </xdr:cNvPicPr>
      </xdr:nvPicPr>
      <xdr:blipFill>
        <a:blip xmlns:r="http://schemas.openxmlformats.org/officeDocument/2006/relationships" r:embed="rId5" cstate="print"/>
        <a:stretch>
          <a:fillRect/>
        </a:stretch>
      </xdr:blipFill>
      <xdr:spPr>
        <a:xfrm>
          <a:off x="11525251" y="9810751"/>
          <a:ext cx="4495800" cy="2171700"/>
        </a:xfrm>
        <a:prstGeom prst="rect">
          <a:avLst/>
        </a:prstGeom>
      </xdr:spPr>
    </xdr:pic>
    <xdr:clientData/>
  </xdr:twoCellAnchor>
  <xdr:twoCellAnchor editAs="oneCell">
    <xdr:from>
      <xdr:col>18</xdr:col>
      <xdr:colOff>464344</xdr:colOff>
      <xdr:row>74</xdr:row>
      <xdr:rowOff>59531</xdr:rowOff>
    </xdr:from>
    <xdr:to>
      <xdr:col>26</xdr:col>
      <xdr:colOff>121445</xdr:colOff>
      <xdr:row>87</xdr:row>
      <xdr:rowOff>133350</xdr:rowOff>
    </xdr:to>
    <xdr:pic>
      <xdr:nvPicPr>
        <xdr:cNvPr id="7" name="Picture 6" descr="E-5.JPG"/>
        <xdr:cNvPicPr>
          <a:picLocks noChangeAspect="1"/>
        </xdr:cNvPicPr>
      </xdr:nvPicPr>
      <xdr:blipFill>
        <a:blip xmlns:r="http://schemas.openxmlformats.org/officeDocument/2006/relationships" r:embed="rId6" cstate="print"/>
        <a:stretch>
          <a:fillRect/>
        </a:stretch>
      </xdr:blipFill>
      <xdr:spPr>
        <a:xfrm>
          <a:off x="11549063" y="12013406"/>
          <a:ext cx="4514850" cy="2209800"/>
        </a:xfrm>
        <a:prstGeom prst="rect">
          <a:avLst/>
        </a:prstGeom>
      </xdr:spPr>
    </xdr:pic>
    <xdr:clientData/>
  </xdr:twoCellAnchor>
  <xdr:twoCellAnchor>
    <xdr:from>
      <xdr:col>8</xdr:col>
      <xdr:colOff>265339</xdr:colOff>
      <xdr:row>62</xdr:row>
      <xdr:rowOff>143062</xdr:rowOff>
    </xdr:from>
    <xdr:to>
      <xdr:col>10</xdr:col>
      <xdr:colOff>1088571</xdr:colOff>
      <xdr:row>67</xdr:row>
      <xdr:rowOff>104320</xdr:rowOff>
    </xdr:to>
    <xdr:sp macro="" textlink="">
      <xdr:nvSpPr>
        <xdr:cNvPr id="8" name="TextBox 7"/>
        <xdr:cNvSpPr txBox="1"/>
      </xdr:nvSpPr>
      <xdr:spPr>
        <a:xfrm>
          <a:off x="5578172" y="11266145"/>
          <a:ext cx="2103816" cy="9560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500" b="0">
              <a:latin typeface="Arial" pitchFamily="34" charset="0"/>
              <a:cs typeface="Arial" pitchFamily="34" charset="0"/>
            </a:rPr>
            <a:t>Note: </a:t>
          </a:r>
        </a:p>
        <a:p>
          <a:r>
            <a:rPr lang="en-US" sz="1500" b="0">
              <a:latin typeface="Arial" pitchFamily="34" charset="0"/>
              <a:cs typeface="Arial" pitchFamily="34" charset="0"/>
            </a:rPr>
            <a:t>Fill</a:t>
          </a:r>
          <a:r>
            <a:rPr lang="en-US" sz="1500" b="0" baseline="0">
              <a:latin typeface="Arial" pitchFamily="34" charset="0"/>
              <a:cs typeface="Arial" pitchFamily="34" charset="0"/>
            </a:rPr>
            <a:t> in either  9A or 9B. </a:t>
          </a:r>
        </a:p>
        <a:p>
          <a:r>
            <a:rPr lang="en-US" sz="1500" b="0" baseline="0">
              <a:latin typeface="Arial" pitchFamily="34" charset="0"/>
              <a:cs typeface="Arial" pitchFamily="34" charset="0"/>
            </a:rPr>
            <a:t>Do </a:t>
          </a:r>
          <a:r>
            <a:rPr lang="en-US" sz="1500" b="1" baseline="0">
              <a:latin typeface="Arial" pitchFamily="34" charset="0"/>
              <a:cs typeface="Arial" pitchFamily="34" charset="0"/>
            </a:rPr>
            <a:t>NOT</a:t>
          </a:r>
          <a:r>
            <a:rPr lang="en-US" sz="1500" b="0" baseline="0">
              <a:latin typeface="Arial" pitchFamily="34" charset="0"/>
              <a:cs typeface="Arial" pitchFamily="34" charset="0"/>
            </a:rPr>
            <a:t> fill in both.</a:t>
          </a:r>
          <a:endParaRPr lang="en-US" sz="1500" b="0">
            <a:latin typeface="Arial" pitchFamily="34" charset="0"/>
            <a:cs typeface="Arial"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210002</xdr:colOff>
      <xdr:row>39</xdr:row>
      <xdr:rowOff>122464</xdr:rowOff>
    </xdr:from>
    <xdr:to>
      <xdr:col>21</xdr:col>
      <xdr:colOff>284007</xdr:colOff>
      <xdr:row>57</xdr:row>
      <xdr:rowOff>6124</xdr:rowOff>
    </xdr:to>
    <xdr:pic>
      <xdr:nvPicPr>
        <xdr:cNvPr id="2" name="Picture 2" descr="pump"/>
        <xdr:cNvPicPr>
          <a:picLocks noChangeAspect="1" noChangeArrowheads="1"/>
        </xdr:cNvPicPr>
      </xdr:nvPicPr>
      <xdr:blipFill>
        <a:blip xmlns:r="http://schemas.openxmlformats.org/officeDocument/2006/relationships" r:embed="rId1" cstate="print"/>
        <a:srcRect/>
        <a:stretch>
          <a:fillRect/>
        </a:stretch>
      </xdr:blipFill>
      <xdr:spPr bwMode="auto">
        <a:xfrm>
          <a:off x="7734752" y="7375071"/>
          <a:ext cx="5612112" cy="2909888"/>
        </a:xfrm>
        <a:prstGeom prst="rect">
          <a:avLst/>
        </a:prstGeom>
        <a:noFill/>
        <a:ln w="9525">
          <a:noFill/>
          <a:miter lim="800000"/>
          <a:headEnd/>
          <a:tailEnd/>
        </a:ln>
      </xdr:spPr>
    </xdr:pic>
    <xdr:clientData/>
  </xdr:twoCellAnchor>
  <xdr:twoCellAnchor editAs="oneCell">
    <xdr:from>
      <xdr:col>12</xdr:col>
      <xdr:colOff>166687</xdr:colOff>
      <xdr:row>16</xdr:row>
      <xdr:rowOff>154214</xdr:rowOff>
    </xdr:from>
    <xdr:to>
      <xdr:col>16</xdr:col>
      <xdr:colOff>88900</xdr:colOff>
      <xdr:row>22</xdr:row>
      <xdr:rowOff>21998</xdr:rowOff>
    </xdr:to>
    <xdr:pic>
      <xdr:nvPicPr>
        <xdr:cNvPr id="3" name="Picture 2" descr="Special Head.JPG"/>
        <xdr:cNvPicPr>
          <a:picLocks noChangeAspect="1"/>
        </xdr:cNvPicPr>
      </xdr:nvPicPr>
      <xdr:blipFill>
        <a:blip xmlns:r="http://schemas.openxmlformats.org/officeDocument/2006/relationships" r:embed="rId2" cstate="print"/>
        <a:stretch>
          <a:fillRect/>
        </a:stretch>
      </xdr:blipFill>
      <xdr:spPr>
        <a:xfrm>
          <a:off x="7691437" y="3161393"/>
          <a:ext cx="2398713" cy="827087"/>
        </a:xfrm>
        <a:prstGeom prst="rect">
          <a:avLst/>
        </a:prstGeom>
      </xdr:spPr>
    </xdr:pic>
    <xdr:clientData/>
  </xdr:twoCellAnchor>
  <xdr:twoCellAnchor editAs="oneCell">
    <xdr:from>
      <xdr:col>12</xdr:col>
      <xdr:colOff>78242</xdr:colOff>
      <xdr:row>22</xdr:row>
      <xdr:rowOff>41956</xdr:rowOff>
    </xdr:from>
    <xdr:to>
      <xdr:col>17</xdr:col>
      <xdr:colOff>265567</xdr:colOff>
      <xdr:row>43</xdr:row>
      <xdr:rowOff>66223</xdr:rowOff>
    </xdr:to>
    <xdr:pic>
      <xdr:nvPicPr>
        <xdr:cNvPr id="4" name="Picture 3" descr="E-9.JPG"/>
        <xdr:cNvPicPr>
          <a:picLocks noChangeAspect="1"/>
        </xdr:cNvPicPr>
      </xdr:nvPicPr>
      <xdr:blipFill>
        <a:blip xmlns:r="http://schemas.openxmlformats.org/officeDocument/2006/relationships" r:embed="rId3" cstate="print"/>
        <a:stretch>
          <a:fillRect/>
        </a:stretch>
      </xdr:blipFill>
      <xdr:spPr>
        <a:xfrm>
          <a:off x="7602992" y="4151313"/>
          <a:ext cx="3276146" cy="3620635"/>
        </a:xfrm>
        <a:prstGeom prst="rect">
          <a:avLst/>
        </a:prstGeom>
      </xdr:spPr>
    </xdr:pic>
    <xdr:clientData/>
  </xdr:twoCellAnchor>
  <xdr:twoCellAnchor editAs="oneCell">
    <xdr:from>
      <xdr:col>18</xdr:col>
      <xdr:colOff>231320</xdr:colOff>
      <xdr:row>19</xdr:row>
      <xdr:rowOff>27214</xdr:rowOff>
    </xdr:from>
    <xdr:to>
      <xdr:col>28</xdr:col>
      <xdr:colOff>356506</xdr:colOff>
      <xdr:row>28</xdr:row>
      <xdr:rowOff>123824</xdr:rowOff>
    </xdr:to>
    <xdr:pic>
      <xdr:nvPicPr>
        <xdr:cNvPr id="5" name="Picture 128" descr="Tank Capacity"/>
        <xdr:cNvPicPr>
          <a:picLocks noChangeAspect="1" noChangeArrowheads="1"/>
        </xdr:cNvPicPr>
      </xdr:nvPicPr>
      <xdr:blipFill>
        <a:blip xmlns:r="http://schemas.openxmlformats.org/officeDocument/2006/relationships" r:embed="rId4" cstate="print"/>
        <a:srcRect/>
        <a:stretch>
          <a:fillRect/>
        </a:stretch>
      </xdr:blipFill>
      <xdr:spPr bwMode="auto">
        <a:xfrm>
          <a:off x="11457213" y="3850821"/>
          <a:ext cx="6248400" cy="1400175"/>
        </a:xfrm>
        <a:prstGeom prst="rect">
          <a:avLst/>
        </a:prstGeom>
        <a:noFill/>
        <a:ln w="9525">
          <a:solidFill>
            <a:srgbClr val="000000"/>
          </a:solid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528151</xdr:colOff>
      <xdr:row>34</xdr:row>
      <xdr:rowOff>110515</xdr:rowOff>
    </xdr:from>
    <xdr:to>
      <xdr:col>25</xdr:col>
      <xdr:colOff>325195</xdr:colOff>
      <xdr:row>49</xdr:row>
      <xdr:rowOff>94151</xdr:rowOff>
    </xdr:to>
    <xdr:pic>
      <xdr:nvPicPr>
        <xdr:cNvPr id="3" name="Picture 2" descr="E-6(2).JPG"/>
        <xdr:cNvPicPr>
          <a:picLocks noChangeAspect="1"/>
        </xdr:cNvPicPr>
      </xdr:nvPicPr>
      <xdr:blipFill>
        <a:blip xmlns:r="http://schemas.openxmlformats.org/officeDocument/2006/relationships" r:embed="rId1" cstate="print"/>
        <a:stretch>
          <a:fillRect/>
        </a:stretch>
      </xdr:blipFill>
      <xdr:spPr>
        <a:xfrm>
          <a:off x="7846526" y="6373203"/>
          <a:ext cx="6694732" cy="2450612"/>
        </a:xfrm>
        <a:prstGeom prst="rect">
          <a:avLst/>
        </a:prstGeom>
      </xdr:spPr>
    </xdr:pic>
    <xdr:clientData/>
  </xdr:twoCellAnchor>
  <xdr:twoCellAnchor editAs="oneCell">
    <xdr:from>
      <xdr:col>16</xdr:col>
      <xdr:colOff>468312</xdr:colOff>
      <xdr:row>142</xdr:row>
      <xdr:rowOff>119062</xdr:rowOff>
    </xdr:from>
    <xdr:to>
      <xdr:col>20</xdr:col>
      <xdr:colOff>169862</xdr:colOff>
      <xdr:row>155</xdr:row>
      <xdr:rowOff>20638</xdr:rowOff>
    </xdr:to>
    <xdr:pic>
      <xdr:nvPicPr>
        <xdr:cNvPr id="4" name="Picture 3" descr="E-20.JPG"/>
        <xdr:cNvPicPr>
          <a:picLocks noChangeAspect="1"/>
        </xdr:cNvPicPr>
      </xdr:nvPicPr>
      <xdr:blipFill>
        <a:blip xmlns:r="http://schemas.openxmlformats.org/officeDocument/2006/relationships" r:embed="rId2" cstate="print"/>
        <a:stretch>
          <a:fillRect/>
        </a:stretch>
      </xdr:blipFill>
      <xdr:spPr>
        <a:xfrm>
          <a:off x="7786687" y="26042937"/>
          <a:ext cx="3543300" cy="2066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rett\Desktop\2014%20design%20sheets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oil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ans-wrc.ad.umn.edu\cfans-wrc$\DOCUME~1\shc\LOCALS~1\Temp\SSTS%20Design%20Forms-Advanced%20Design%20Form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esign Summary"/>
      <sheetName val="Design Sketch"/>
      <sheetName val="Soils"/>
      <sheetName val="Trench &amp; Bed"/>
      <sheetName val="Mound &lt;1%"/>
      <sheetName val="Mound &gt;1%"/>
      <sheetName val="Mound Mat."/>
      <sheetName val="At-Grade"/>
      <sheetName val="Pres. Dist."/>
      <sheetName val="Non-Level Pres. Dist."/>
      <sheetName val="Pump 1"/>
      <sheetName val="Pump Tank 1"/>
      <sheetName val="Table XI-C Treatment"/>
      <sheetName val="Table XII-A&amp;B Treatment"/>
      <sheetName val="Waste Strengths"/>
      <sheetName val="Table I"/>
      <sheetName val="Table IV"/>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v>0</v>
          </cell>
          <cell r="B2" t="str">
            <v>Coarse Sand</v>
          </cell>
          <cell r="G2">
            <v>4</v>
          </cell>
          <cell r="H2">
            <v>4</v>
          </cell>
          <cell r="I2">
            <v>1</v>
          </cell>
          <cell r="J2" t="str">
            <v>Rock</v>
          </cell>
          <cell r="K2">
            <v>1</v>
          </cell>
        </row>
        <row r="3">
          <cell r="A3">
            <v>1</v>
          </cell>
          <cell r="B3" t="str">
            <v>Coarse Loamy Sand</v>
          </cell>
          <cell r="G3">
            <v>3.85</v>
          </cell>
          <cell r="H3">
            <v>4.17</v>
          </cell>
          <cell r="I3">
            <v>1.25</v>
          </cell>
          <cell r="J3" t="str">
            <v>Other Approved Distribution Media</v>
          </cell>
          <cell r="K3">
            <v>2</v>
          </cell>
        </row>
        <row r="4">
          <cell r="A4">
            <v>2</v>
          </cell>
          <cell r="B4" t="str">
            <v>Fine Loamy Sand</v>
          </cell>
          <cell r="G4">
            <v>3.7</v>
          </cell>
          <cell r="H4">
            <v>4.3499999999999996</v>
          </cell>
          <cell r="I4">
            <v>1.5</v>
          </cell>
          <cell r="K4">
            <v>3</v>
          </cell>
        </row>
        <row r="5">
          <cell r="A5">
            <v>3</v>
          </cell>
          <cell r="B5" t="str">
            <v>Coarse Sandy Loam</v>
          </cell>
          <cell r="G5">
            <v>3.57</v>
          </cell>
          <cell r="H5">
            <v>4.54</v>
          </cell>
          <cell r="I5">
            <v>2</v>
          </cell>
          <cell r="K5">
            <v>4</v>
          </cell>
        </row>
        <row r="6">
          <cell r="A6">
            <v>4</v>
          </cell>
          <cell r="B6" t="str">
            <v>Fine Sand</v>
          </cell>
          <cell r="G6">
            <v>3.45</v>
          </cell>
          <cell r="H6">
            <v>4.76</v>
          </cell>
          <cell r="I6">
            <v>3</v>
          </cell>
          <cell r="K6">
            <v>5</v>
          </cell>
        </row>
        <row r="7">
          <cell r="A7">
            <v>5</v>
          </cell>
          <cell r="B7" t="str">
            <v>Very Fine Loamy Sand</v>
          </cell>
          <cell r="G7">
            <v>3.33</v>
          </cell>
          <cell r="H7">
            <v>5</v>
          </cell>
          <cell r="I7">
            <v>4</v>
          </cell>
          <cell r="K7">
            <v>6</v>
          </cell>
        </row>
        <row r="8">
          <cell r="A8">
            <v>6</v>
          </cell>
          <cell r="B8" t="str">
            <v>Medium Sand</v>
          </cell>
          <cell r="G8">
            <v>3.23</v>
          </cell>
          <cell r="H8">
            <v>5.26</v>
          </cell>
          <cell r="I8">
            <v>6</v>
          </cell>
          <cell r="K8">
            <v>7</v>
          </cell>
        </row>
        <row r="9">
          <cell r="A9">
            <v>7</v>
          </cell>
          <cell r="B9" t="str">
            <v>Medium Loamy Sand</v>
          </cell>
          <cell r="G9">
            <v>3.12</v>
          </cell>
          <cell r="H9">
            <v>5.56</v>
          </cell>
          <cell r="K9">
            <v>8</v>
          </cell>
        </row>
        <row r="10">
          <cell r="A10">
            <v>8</v>
          </cell>
          <cell r="B10" t="str">
            <v>Medium Sandy Loam</v>
          </cell>
          <cell r="G10">
            <v>3.03</v>
          </cell>
          <cell r="H10">
            <v>5.88</v>
          </cell>
          <cell r="K10">
            <v>9</v>
          </cell>
        </row>
        <row r="11">
          <cell r="A11">
            <v>9</v>
          </cell>
          <cell r="B11" t="str">
            <v>Fine Sandy Loam</v>
          </cell>
          <cell r="G11">
            <v>2.94</v>
          </cell>
          <cell r="H11">
            <v>6.25</v>
          </cell>
          <cell r="K11">
            <v>10</v>
          </cell>
        </row>
        <row r="12">
          <cell r="A12">
            <v>10</v>
          </cell>
          <cell r="B12" t="str">
            <v>Very Fine Sandy Loam</v>
          </cell>
          <cell r="G12">
            <v>2.86</v>
          </cell>
          <cell r="H12">
            <v>6.67</v>
          </cell>
          <cell r="K12">
            <v>11</v>
          </cell>
        </row>
        <row r="13">
          <cell r="A13">
            <v>11</v>
          </cell>
          <cell r="B13" t="str">
            <v>Loam</v>
          </cell>
          <cell r="G13">
            <v>2.78</v>
          </cell>
          <cell r="H13">
            <v>7.14</v>
          </cell>
          <cell r="K13">
            <v>12</v>
          </cell>
        </row>
        <row r="14">
          <cell r="A14">
            <v>12</v>
          </cell>
          <cell r="B14" t="str">
            <v>Silt Loam</v>
          </cell>
          <cell r="G14">
            <v>2.7</v>
          </cell>
          <cell r="H14">
            <v>7.69</v>
          </cell>
          <cell r="K14">
            <v>13</v>
          </cell>
        </row>
        <row r="15">
          <cell r="A15">
            <v>13</v>
          </cell>
          <cell r="B15" t="str">
            <v>Clay Loam</v>
          </cell>
          <cell r="G15">
            <v>2.62</v>
          </cell>
          <cell r="H15">
            <v>8.2899999999999991</v>
          </cell>
          <cell r="K15">
            <v>14</v>
          </cell>
        </row>
        <row r="16">
          <cell r="A16">
            <v>14</v>
          </cell>
          <cell r="B16" t="str">
            <v>Silty Clay Loam</v>
          </cell>
          <cell r="G16">
            <v>2.5499999999999998</v>
          </cell>
          <cell r="H16">
            <v>8.9149999999999991</v>
          </cell>
          <cell r="K16">
            <v>15</v>
          </cell>
        </row>
        <row r="17">
          <cell r="A17">
            <v>15</v>
          </cell>
          <cell r="B17" t="str">
            <v>Sandy Clay Loam</v>
          </cell>
          <cell r="G17">
            <v>2.48</v>
          </cell>
          <cell r="H17">
            <v>9.5649999999999995</v>
          </cell>
          <cell r="K17">
            <v>16</v>
          </cell>
        </row>
        <row r="18">
          <cell r="A18">
            <v>16</v>
          </cell>
          <cell r="B18" t="str">
            <v>Silty Clay</v>
          </cell>
          <cell r="G18">
            <v>2.41</v>
          </cell>
          <cell r="H18">
            <v>10.24</v>
          </cell>
          <cell r="K18">
            <v>17</v>
          </cell>
        </row>
        <row r="19">
          <cell r="A19">
            <v>17</v>
          </cell>
          <cell r="B19" t="str">
            <v>Sandy Clay</v>
          </cell>
          <cell r="G19">
            <v>2.35</v>
          </cell>
          <cell r="H19">
            <v>10.94</v>
          </cell>
          <cell r="K19">
            <v>18</v>
          </cell>
        </row>
        <row r="20">
          <cell r="A20">
            <v>18</v>
          </cell>
          <cell r="B20" t="str">
            <v>Clay</v>
          </cell>
          <cell r="G20">
            <v>2.29</v>
          </cell>
          <cell r="H20">
            <v>11.664999999999999</v>
          </cell>
          <cell r="K20">
            <v>19</v>
          </cell>
        </row>
        <row r="21">
          <cell r="A21">
            <v>19</v>
          </cell>
          <cell r="G21">
            <v>2.23</v>
          </cell>
          <cell r="H21">
            <v>12.414999999999999</v>
          </cell>
          <cell r="K21">
            <v>20</v>
          </cell>
        </row>
        <row r="22">
          <cell r="A22">
            <v>20</v>
          </cell>
          <cell r="G22">
            <v>2.1800000000000002</v>
          </cell>
          <cell r="H22">
            <v>13.19</v>
          </cell>
        </row>
        <row r="23">
          <cell r="A23">
            <v>21</v>
          </cell>
          <cell r="G23">
            <v>2.13</v>
          </cell>
          <cell r="H23">
            <v>13.99</v>
          </cell>
        </row>
        <row r="24">
          <cell r="A24">
            <v>22</v>
          </cell>
          <cell r="D24" t="str">
            <v>1/8</v>
          </cell>
          <cell r="G24">
            <v>2.08</v>
          </cell>
          <cell r="H24">
            <v>14.815</v>
          </cell>
        </row>
        <row r="25">
          <cell r="A25">
            <v>23</v>
          </cell>
          <cell r="D25" t="str">
            <v>3/16</v>
          </cell>
          <cell r="G25">
            <v>2.0299999999999998</v>
          </cell>
          <cell r="H25">
            <v>15.664999999999999</v>
          </cell>
          <cell r="J25">
            <v>0.5</v>
          </cell>
        </row>
        <row r="26">
          <cell r="A26">
            <v>24</v>
          </cell>
          <cell r="D26" t="str">
            <v>7/32</v>
          </cell>
          <cell r="G26">
            <v>1.98</v>
          </cell>
          <cell r="H26">
            <v>16.54</v>
          </cell>
          <cell r="J26">
            <v>0.75</v>
          </cell>
        </row>
        <row r="27">
          <cell r="A27">
            <v>25</v>
          </cell>
          <cell r="B27">
            <v>2</v>
          </cell>
          <cell r="D27" t="str">
            <v>1/4</v>
          </cell>
          <cell r="G27">
            <v>1.93</v>
          </cell>
          <cell r="H27">
            <v>17.440000000000001</v>
          </cell>
          <cell r="J27">
            <v>1</v>
          </cell>
        </row>
        <row r="28">
          <cell r="A28">
            <v>26</v>
          </cell>
          <cell r="B28">
            <v>3</v>
          </cell>
          <cell r="C28">
            <v>0</v>
          </cell>
        </row>
        <row r="29">
          <cell r="A29">
            <v>27</v>
          </cell>
          <cell r="C29">
            <v>0.24</v>
          </cell>
        </row>
        <row r="30">
          <cell r="A30">
            <v>28</v>
          </cell>
          <cell r="C30">
            <v>0.45</v>
          </cell>
          <cell r="G30">
            <v>1</v>
          </cell>
        </row>
        <row r="31">
          <cell r="A31">
            <v>29</v>
          </cell>
          <cell r="C31">
            <v>0.5</v>
          </cell>
          <cell r="G31">
            <v>2</v>
          </cell>
        </row>
        <row r="32">
          <cell r="A32">
            <v>30</v>
          </cell>
          <cell r="C32">
            <v>0.6</v>
          </cell>
          <cell r="G32">
            <v>3</v>
          </cell>
        </row>
        <row r="33">
          <cell r="C33">
            <v>0.78</v>
          </cell>
          <cell r="G33">
            <v>4</v>
          </cell>
          <cell r="I33" t="str">
            <v>Yes</v>
          </cell>
        </row>
        <row r="34">
          <cell r="C34">
            <v>1</v>
          </cell>
          <cell r="G34">
            <v>5</v>
          </cell>
          <cell r="I34" t="str">
            <v>No</v>
          </cell>
        </row>
        <row r="35">
          <cell r="C35">
            <v>1.2</v>
          </cell>
          <cell r="G35">
            <v>6</v>
          </cell>
          <cell r="I35" t="str">
            <v>Optional</v>
          </cell>
        </row>
        <row r="36">
          <cell r="G36">
            <v>7</v>
          </cell>
        </row>
        <row r="37">
          <cell r="G37">
            <v>8</v>
          </cell>
        </row>
        <row r="38">
          <cell r="C38">
            <v>1</v>
          </cell>
          <cell r="D38">
            <v>0.33</v>
          </cell>
          <cell r="G38">
            <v>9</v>
          </cell>
        </row>
        <row r="39">
          <cell r="B39">
            <v>2</v>
          </cell>
          <cell r="C39">
            <v>2</v>
          </cell>
          <cell r="D39">
            <v>0.5</v>
          </cell>
          <cell r="G39">
            <v>10</v>
          </cell>
        </row>
        <row r="40">
          <cell r="B40">
            <v>2.5</v>
          </cell>
          <cell r="C40">
            <v>5</v>
          </cell>
          <cell r="G40">
            <v>11</v>
          </cell>
        </row>
        <row r="41">
          <cell r="B41">
            <v>3</v>
          </cell>
          <cell r="E41">
            <v>0</v>
          </cell>
          <cell r="G41">
            <v>12</v>
          </cell>
        </row>
        <row r="42">
          <cell r="D42">
            <v>1</v>
          </cell>
          <cell r="E42">
            <v>5</v>
          </cell>
          <cell r="G42">
            <v>13</v>
          </cell>
        </row>
        <row r="43">
          <cell r="C43">
            <v>1</v>
          </cell>
          <cell r="D43">
            <v>1.2</v>
          </cell>
          <cell r="E43">
            <v>6</v>
          </cell>
          <cell r="G43">
            <v>14</v>
          </cell>
        </row>
        <row r="44">
          <cell r="C44">
            <v>1.5</v>
          </cell>
          <cell r="E44">
            <v>10</v>
          </cell>
          <cell r="G44">
            <v>15</v>
          </cell>
        </row>
        <row r="45">
          <cell r="G45">
            <v>16</v>
          </cell>
        </row>
        <row r="46">
          <cell r="G46">
            <v>17</v>
          </cell>
        </row>
        <row r="47">
          <cell r="G47">
            <v>18</v>
          </cell>
        </row>
        <row r="48">
          <cell r="D48" t="str">
            <v>Chamber</v>
          </cell>
          <cell r="G48">
            <v>19</v>
          </cell>
        </row>
        <row r="49">
          <cell r="D49" t="str">
            <v>Rock</v>
          </cell>
          <cell r="G49">
            <v>20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 Eval"/>
      <sheetName val="Field Eval"/>
      <sheetName val="Soil 1"/>
      <sheetName val="Soil 2"/>
      <sheetName val="Site Eval Map"/>
      <sheetName val="Perc. Test"/>
      <sheetName val="Design Summary"/>
      <sheetName val="Design Sketch"/>
      <sheetName val="Trench"/>
      <sheetName val="Bed "/>
      <sheetName val="Mound &lt;1%"/>
      <sheetName val="Mound &gt;1%"/>
      <sheetName val="Mound Mat."/>
      <sheetName val="At-Grade"/>
      <sheetName val="Drip"/>
      <sheetName val="Pres. Dist."/>
      <sheetName val="Non-Level Pres. Dist."/>
      <sheetName val="Pump-Basic (1)"/>
      <sheetName val="Pump Tank (1)"/>
      <sheetName val="Pump-Basic (2)"/>
      <sheetName val="Pump Tank (2)"/>
      <sheetName val="Pump-Collection"/>
      <sheetName val="Filter"/>
      <sheetName val="Existing Dwellings"/>
      <sheetName val="Measured Flow-OE"/>
      <sheetName val="Estimated Flow-OE"/>
      <sheetName val="Final Flow Total"/>
      <sheetName val="Flow &amp; System Summary"/>
      <sheetName val="Tank Buoyancy"/>
      <sheetName val="Table IX &amp; IXa"/>
      <sheetName val="Waste Strengths"/>
      <sheetName val="Table I"/>
      <sheetName val="Table IV"/>
      <sheetName val="Misc Tables"/>
      <sheetName val="Drop-Down Lists"/>
      <sheetName val="More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
          <cell r="A2">
            <v>0</v>
          </cell>
        </row>
        <row r="17">
          <cell r="J17">
            <v>1</v>
          </cell>
        </row>
        <row r="18">
          <cell r="J18">
            <v>1.5</v>
          </cell>
        </row>
        <row r="19">
          <cell r="J19">
            <v>1.6</v>
          </cell>
        </row>
        <row r="20">
          <cell r="J20">
            <v>1.8</v>
          </cell>
        </row>
        <row r="21">
          <cell r="J21">
            <v>2</v>
          </cell>
        </row>
        <row r="22">
          <cell r="J22">
            <v>2.1</v>
          </cell>
        </row>
        <row r="23">
          <cell r="J23">
            <v>2.2999999999999998</v>
          </cell>
        </row>
        <row r="24">
          <cell r="J24">
            <v>2.4</v>
          </cell>
        </row>
        <row r="25">
          <cell r="J25">
            <v>2.5</v>
          </cell>
        </row>
        <row r="26">
          <cell r="J26">
            <v>2.6</v>
          </cell>
        </row>
        <row r="27">
          <cell r="J27">
            <v>2.7</v>
          </cell>
        </row>
        <row r="28">
          <cell r="J28">
            <v>2.9</v>
          </cell>
        </row>
        <row r="29">
          <cell r="J29">
            <v>5</v>
          </cell>
        </row>
        <row r="30">
          <cell r="J30">
            <v>5.3</v>
          </cell>
        </row>
        <row r="43">
          <cell r="J43" t="str">
            <v>&lt;35%</v>
          </cell>
        </row>
        <row r="44">
          <cell r="J44" t="str">
            <v>35-50%</v>
          </cell>
        </row>
        <row r="45">
          <cell r="J45" t="str">
            <v>&gt;50%</v>
          </cell>
        </row>
        <row r="46">
          <cell r="E46" t="str">
            <v>2/1</v>
          </cell>
        </row>
        <row r="47">
          <cell r="B47" t="str">
            <v>Probe</v>
          </cell>
          <cell r="D47" t="str">
            <v>10R</v>
          </cell>
          <cell r="E47" t="str">
            <v>2/2</v>
          </cell>
        </row>
        <row r="48">
          <cell r="B48" t="str">
            <v>Auger</v>
          </cell>
          <cell r="D48" t="str">
            <v>2.5YR</v>
          </cell>
          <cell r="E48" t="str">
            <v>2.5/0</v>
          </cell>
          <cell r="J48" t="str">
            <v>Pressure distribution</v>
          </cell>
        </row>
        <row r="49">
          <cell r="B49" t="str">
            <v>Soil Pit</v>
          </cell>
          <cell r="D49" t="str">
            <v>5YR</v>
          </cell>
          <cell r="E49" t="str">
            <v>2.5/1</v>
          </cell>
          <cell r="J49" t="str">
            <v>Serial distribution in 15% sections</v>
          </cell>
        </row>
        <row r="50">
          <cell r="D50" t="str">
            <v>7.5YR</v>
          </cell>
          <cell r="E50" t="str">
            <v>2.5/2</v>
          </cell>
          <cell r="J50" t="str">
            <v>5 feet of separation</v>
          </cell>
        </row>
        <row r="51">
          <cell r="D51" t="str">
            <v>10YR</v>
          </cell>
          <cell r="E51" t="str">
            <v>2.5/3</v>
          </cell>
        </row>
        <row r="52">
          <cell r="B52" t="str">
            <v>Demand Dosing Soil Treatment</v>
          </cell>
          <cell r="D52" t="str">
            <v>2.5Y</v>
          </cell>
          <cell r="E52" t="str">
            <v>3/1</v>
          </cell>
        </row>
        <row r="53">
          <cell r="B53" t="str">
            <v>Time Dosing Soil Treatment</v>
          </cell>
          <cell r="D53" t="str">
            <v>5Y</v>
          </cell>
          <cell r="E53" t="str">
            <v>3/2</v>
          </cell>
          <cell r="J53" t="str">
            <v>Demand to Pressure</v>
          </cell>
        </row>
        <row r="54">
          <cell r="D54" t="str">
            <v>GLEY</v>
          </cell>
          <cell r="E54" t="str">
            <v>3/3</v>
          </cell>
          <cell r="J54" t="str">
            <v>Demand to Gravity</v>
          </cell>
        </row>
        <row r="55">
          <cell r="D55" t="str">
            <v>N</v>
          </cell>
          <cell r="E55" t="str">
            <v>3/4</v>
          </cell>
          <cell r="J55" t="str">
            <v>Time to Pressure</v>
          </cell>
        </row>
        <row r="56">
          <cell r="D56" t="str">
            <v>None</v>
          </cell>
          <cell r="E56" t="str">
            <v>3/6</v>
          </cell>
          <cell r="J56" t="str">
            <v>Time to Gravity</v>
          </cell>
        </row>
        <row r="57">
          <cell r="E57" t="str">
            <v>4/1</v>
          </cell>
          <cell r="J57" t="str">
            <v xml:space="preserve">Time to Treatment </v>
          </cell>
        </row>
        <row r="58">
          <cell r="E58" t="str">
            <v>4/2</v>
          </cell>
          <cell r="J58" t="str">
            <v>Equalization</v>
          </cell>
        </row>
        <row r="59">
          <cell r="E59" t="str">
            <v>4/3</v>
          </cell>
        </row>
        <row r="60">
          <cell r="E60" t="str">
            <v>4/4</v>
          </cell>
        </row>
        <row r="61">
          <cell r="E61" t="str">
            <v>4/6</v>
          </cell>
        </row>
        <row r="62">
          <cell r="E62" t="str">
            <v>4/8</v>
          </cell>
        </row>
        <row r="63">
          <cell r="E63" t="str">
            <v>5/1</v>
          </cell>
        </row>
        <row r="64">
          <cell r="E64" t="str">
            <v>5/2</v>
          </cell>
        </row>
        <row r="65">
          <cell r="E65" t="str">
            <v>5/3</v>
          </cell>
        </row>
        <row r="66">
          <cell r="E66" t="str">
            <v>5/4</v>
          </cell>
        </row>
        <row r="67">
          <cell r="E67" t="str">
            <v>5/6</v>
          </cell>
        </row>
        <row r="68">
          <cell r="E68" t="str">
            <v>5/8</v>
          </cell>
        </row>
        <row r="69">
          <cell r="E69" t="str">
            <v>6/1</v>
          </cell>
        </row>
        <row r="70">
          <cell r="E70" t="str">
            <v>6/2</v>
          </cell>
        </row>
        <row r="71">
          <cell r="E71" t="str">
            <v>6/3</v>
          </cell>
        </row>
        <row r="72">
          <cell r="E72" t="str">
            <v>6/4</v>
          </cell>
        </row>
        <row r="73">
          <cell r="E73" t="str">
            <v>6/6</v>
          </cell>
        </row>
        <row r="74">
          <cell r="E74" t="str">
            <v>6/8</v>
          </cell>
        </row>
        <row r="75">
          <cell r="E75" t="str">
            <v>7/1</v>
          </cell>
        </row>
        <row r="76">
          <cell r="E76" t="str">
            <v>7/2</v>
          </cell>
        </row>
        <row r="77">
          <cell r="E77" t="str">
            <v>7/3</v>
          </cell>
        </row>
        <row r="78">
          <cell r="E78" t="str">
            <v>7/4</v>
          </cell>
        </row>
        <row r="79">
          <cell r="E79" t="str">
            <v>7/6</v>
          </cell>
        </row>
        <row r="80">
          <cell r="E80" t="str">
            <v>7/8</v>
          </cell>
        </row>
        <row r="81">
          <cell r="E81" t="str">
            <v>8/1</v>
          </cell>
        </row>
        <row r="82">
          <cell r="E82" t="str">
            <v>8/2</v>
          </cell>
        </row>
        <row r="83">
          <cell r="E83" t="str">
            <v>8/3</v>
          </cell>
        </row>
        <row r="84">
          <cell r="E84" t="str">
            <v>8/4</v>
          </cell>
        </row>
        <row r="85">
          <cell r="E85" t="str">
            <v>8/6</v>
          </cell>
        </row>
        <row r="86">
          <cell r="E86" t="str">
            <v>8/8</v>
          </cell>
        </row>
      </sheetData>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Prelim Eval"/>
      <sheetName val="Field Eval"/>
      <sheetName val="Soil 1"/>
      <sheetName val="Soil 2"/>
      <sheetName val="Site Eval Map"/>
      <sheetName val="Perc. Test"/>
      <sheetName val="Design Summary"/>
      <sheetName val="Design Sketch"/>
      <sheetName val="Trench &amp; Bed"/>
      <sheetName val="Mound &lt;1%"/>
      <sheetName val="Mound &gt;1%"/>
      <sheetName val="Mound Mat."/>
      <sheetName val="At-Grade"/>
      <sheetName val="Drip Distribution 2011"/>
      <sheetName val="Drip Distribution"/>
      <sheetName val="Pres. Dist."/>
      <sheetName val="Non-Level Pres. Dist."/>
      <sheetName val="Pump 1"/>
      <sheetName val="Pump Tank 1"/>
      <sheetName val="Pump 2"/>
      <sheetName val="Pump Tank 2"/>
      <sheetName val="Filter"/>
      <sheetName val="Existing Dwellings"/>
      <sheetName val="Measured Flow-OE"/>
      <sheetName val="Estimated Flow-OE"/>
      <sheetName val="Final Flow Total"/>
      <sheetName val="Flow &amp; System Summary"/>
      <sheetName val="Table XI-C Treatment"/>
      <sheetName val="Table XII-A&amp;B Treatment"/>
      <sheetName val="Waste Strengths"/>
      <sheetName val="Table I"/>
      <sheetName val="Table IV"/>
      <sheetName val="Misc Tables"/>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30">
          <cell r="D30" t="str">
            <v>1/8</v>
          </cell>
        </row>
        <row r="31">
          <cell r="D31" t="str">
            <v>1/16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penoffice.org/" TargetMode="Externa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3.xml"/><Relationship Id="rId13" Type="http://schemas.openxmlformats.org/officeDocument/2006/relationships/ctrlProp" Target="../ctrlProps/ctrlProp68.xml"/><Relationship Id="rId3" Type="http://schemas.openxmlformats.org/officeDocument/2006/relationships/vmlDrawing" Target="../drawings/vmlDrawing2.vml"/><Relationship Id="rId7" Type="http://schemas.openxmlformats.org/officeDocument/2006/relationships/ctrlProp" Target="../ctrlProps/ctrlProp62.xml"/><Relationship Id="rId12" Type="http://schemas.openxmlformats.org/officeDocument/2006/relationships/ctrlProp" Target="../ctrlProps/ctrlProp67.xml"/><Relationship Id="rId2" Type="http://schemas.openxmlformats.org/officeDocument/2006/relationships/drawing" Target="../drawings/drawing3.xml"/><Relationship Id="rId16" Type="http://schemas.openxmlformats.org/officeDocument/2006/relationships/ctrlProp" Target="../ctrlProps/ctrlProp71.xml"/><Relationship Id="rId1" Type="http://schemas.openxmlformats.org/officeDocument/2006/relationships/printerSettings" Target="../printerSettings/printerSettings6.bin"/><Relationship Id="rId6" Type="http://schemas.openxmlformats.org/officeDocument/2006/relationships/ctrlProp" Target="../ctrlProps/ctrlProp61.xml"/><Relationship Id="rId11" Type="http://schemas.openxmlformats.org/officeDocument/2006/relationships/ctrlProp" Target="../ctrlProps/ctrlProp66.xml"/><Relationship Id="rId5" Type="http://schemas.openxmlformats.org/officeDocument/2006/relationships/ctrlProp" Target="../ctrlProps/ctrlProp60.xml"/><Relationship Id="rId15" Type="http://schemas.openxmlformats.org/officeDocument/2006/relationships/ctrlProp" Target="../ctrlProps/ctrlProp70.xml"/><Relationship Id="rId10" Type="http://schemas.openxmlformats.org/officeDocument/2006/relationships/ctrlProp" Target="../ctrlProps/ctrlProp65.xml"/><Relationship Id="rId4" Type="http://schemas.openxmlformats.org/officeDocument/2006/relationships/ctrlProp" Target="../ctrlProps/ctrlProp59.xml"/><Relationship Id="rId9" Type="http://schemas.openxmlformats.org/officeDocument/2006/relationships/ctrlProp" Target="../ctrlProps/ctrlProp64.xml"/><Relationship Id="rId14" Type="http://schemas.openxmlformats.org/officeDocument/2006/relationships/ctrlProp" Target="../ctrlProps/ctrlProp6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AB43"/>
  <sheetViews>
    <sheetView topLeftCell="G1" workbookViewId="0">
      <selection activeCell="X23" sqref="X23"/>
    </sheetView>
  </sheetViews>
  <sheetFormatPr defaultRowHeight="15"/>
  <cols>
    <col min="5" max="5" width="22.5703125" bestFit="1" customWidth="1"/>
    <col min="13" max="13" width="24.5703125" bestFit="1" customWidth="1"/>
    <col min="14" max="14" width="13.85546875" bestFit="1" customWidth="1"/>
    <col min="19" max="19" width="8.28515625" bestFit="1" customWidth="1"/>
  </cols>
  <sheetData>
    <row r="1" spans="2:25">
      <c r="N1" s="44" t="s">
        <v>490</v>
      </c>
      <c r="O1" s="44" t="s">
        <v>500</v>
      </c>
      <c r="P1" s="44" t="s">
        <v>499</v>
      </c>
      <c r="Q1" s="44" t="s">
        <v>529</v>
      </c>
    </row>
    <row r="2" spans="2:25">
      <c r="N2">
        <v>2</v>
      </c>
      <c r="O2" t="b">
        <v>0</v>
      </c>
      <c r="P2" t="b">
        <v>0</v>
      </c>
      <c r="Q2" s="119" t="b">
        <v>0</v>
      </c>
    </row>
    <row r="3" spans="2:25">
      <c r="B3">
        <v>0</v>
      </c>
      <c r="C3">
        <v>1</v>
      </c>
      <c r="D3">
        <v>0</v>
      </c>
      <c r="E3" s="44" t="s">
        <v>427</v>
      </c>
      <c r="H3">
        <v>0</v>
      </c>
    </row>
    <row r="4" spans="2:25">
      <c r="B4">
        <v>1</v>
      </c>
      <c r="C4">
        <v>2</v>
      </c>
      <c r="D4">
        <v>1</v>
      </c>
      <c r="E4" s="44" t="s">
        <v>428</v>
      </c>
      <c r="H4">
        <v>1</v>
      </c>
      <c r="K4">
        <v>0</v>
      </c>
      <c r="L4">
        <v>1.5</v>
      </c>
      <c r="S4" s="117"/>
      <c r="T4">
        <v>1000</v>
      </c>
      <c r="V4">
        <v>0.5</v>
      </c>
    </row>
    <row r="5" spans="2:25">
      <c r="B5">
        <v>2</v>
      </c>
      <c r="C5">
        <v>3</v>
      </c>
      <c r="D5">
        <v>2</v>
      </c>
      <c r="E5" s="44" t="s">
        <v>431</v>
      </c>
      <c r="G5" s="44" t="s">
        <v>438</v>
      </c>
      <c r="H5">
        <v>2</v>
      </c>
      <c r="K5">
        <v>5</v>
      </c>
      <c r="L5">
        <v>2</v>
      </c>
      <c r="O5" s="119">
        <v>1</v>
      </c>
      <c r="Q5">
        <v>1.2</v>
      </c>
      <c r="R5" s="118">
        <v>2.5</v>
      </c>
      <c r="S5" s="120">
        <v>0.1875</v>
      </c>
      <c r="T5">
        <v>1500</v>
      </c>
      <c r="U5">
        <v>0.42</v>
      </c>
      <c r="V5">
        <v>1</v>
      </c>
      <c r="W5">
        <v>4.4999999999999998E-2</v>
      </c>
      <c r="X5">
        <v>1</v>
      </c>
      <c r="Y5">
        <v>0.83</v>
      </c>
    </row>
    <row r="6" spans="2:25">
      <c r="B6">
        <v>3</v>
      </c>
      <c r="C6">
        <v>4</v>
      </c>
      <c r="D6">
        <v>3</v>
      </c>
      <c r="E6" s="44" t="s">
        <v>432</v>
      </c>
      <c r="G6" s="44" t="s">
        <v>439</v>
      </c>
      <c r="H6">
        <v>3</v>
      </c>
      <c r="L6">
        <v>3</v>
      </c>
      <c r="O6" s="119">
        <v>1.5</v>
      </c>
      <c r="Q6">
        <v>0.79</v>
      </c>
      <c r="R6" s="118">
        <v>3</v>
      </c>
      <c r="S6" s="121">
        <v>0.21875</v>
      </c>
      <c r="T6">
        <v>1600</v>
      </c>
      <c r="U6">
        <v>0.56000000000000005</v>
      </c>
      <c r="V6">
        <v>1.5</v>
      </c>
      <c r="W6">
        <v>7.8E-2</v>
      </c>
      <c r="X6">
        <v>1.25</v>
      </c>
      <c r="Y6">
        <v>1.67</v>
      </c>
    </row>
    <row r="7" spans="2:25">
      <c r="B7">
        <v>4</v>
      </c>
      <c r="C7">
        <v>5</v>
      </c>
      <c r="D7">
        <v>4</v>
      </c>
      <c r="E7" s="44" t="s">
        <v>429</v>
      </c>
      <c r="H7">
        <v>4</v>
      </c>
      <c r="O7" s="119">
        <v>2</v>
      </c>
      <c r="Q7">
        <v>0.6</v>
      </c>
      <c r="R7" s="118">
        <v>3.3</v>
      </c>
      <c r="S7" s="122">
        <v>0.25</v>
      </c>
      <c r="T7">
        <v>2000</v>
      </c>
      <c r="U7">
        <v>0.59</v>
      </c>
      <c r="V7">
        <v>2</v>
      </c>
      <c r="W7">
        <v>0.11</v>
      </c>
      <c r="X7">
        <v>1.5</v>
      </c>
      <c r="Y7">
        <v>1.27</v>
      </c>
    </row>
    <row r="8" spans="2:25">
      <c r="B8">
        <v>5</v>
      </c>
      <c r="C8">
        <v>6</v>
      </c>
      <c r="D8">
        <v>5</v>
      </c>
      <c r="E8" s="44" t="s">
        <v>58</v>
      </c>
      <c r="H8">
        <v>5</v>
      </c>
      <c r="O8" s="119">
        <v>2.4</v>
      </c>
      <c r="Q8">
        <v>0.5</v>
      </c>
      <c r="R8" s="118">
        <v>4</v>
      </c>
      <c r="T8">
        <v>2250</v>
      </c>
      <c r="U8">
        <v>0.74</v>
      </c>
      <c r="W8">
        <v>0.17</v>
      </c>
      <c r="X8">
        <v>2</v>
      </c>
      <c r="Y8">
        <v>2</v>
      </c>
    </row>
    <row r="9" spans="2:25">
      <c r="B9">
        <v>6</v>
      </c>
      <c r="C9">
        <v>7</v>
      </c>
      <c r="D9">
        <v>6</v>
      </c>
      <c r="E9" s="44" t="s">
        <v>430</v>
      </c>
      <c r="H9">
        <v>6</v>
      </c>
      <c r="O9" s="119">
        <v>2.67</v>
      </c>
      <c r="Q9">
        <v>0.45</v>
      </c>
      <c r="R9" s="118">
        <v>5</v>
      </c>
      <c r="T9">
        <v>3000</v>
      </c>
      <c r="U9">
        <v>0.8</v>
      </c>
      <c r="W9">
        <v>0.25</v>
      </c>
      <c r="Y9">
        <v>2.2000000000000002</v>
      </c>
    </row>
    <row r="10" spans="2:25">
      <c r="B10">
        <v>7</v>
      </c>
      <c r="C10">
        <v>8</v>
      </c>
      <c r="D10">
        <v>7</v>
      </c>
      <c r="E10" s="44" t="s">
        <v>433</v>
      </c>
      <c r="H10">
        <v>7</v>
      </c>
      <c r="O10" s="119">
        <v>5</v>
      </c>
      <c r="Q10">
        <v>0.24</v>
      </c>
      <c r="T10">
        <v>4000</v>
      </c>
      <c r="U10">
        <v>0.94</v>
      </c>
      <c r="W10">
        <v>0.38</v>
      </c>
      <c r="Y10">
        <v>4.2</v>
      </c>
    </row>
    <row r="11" spans="2:25">
      <c r="B11">
        <v>8</v>
      </c>
      <c r="C11">
        <v>9</v>
      </c>
      <c r="D11">
        <v>8</v>
      </c>
      <c r="E11" s="44" t="s">
        <v>434</v>
      </c>
      <c r="H11">
        <v>8</v>
      </c>
      <c r="U11">
        <v>1.04</v>
      </c>
      <c r="W11">
        <v>0.66</v>
      </c>
    </row>
    <row r="12" spans="2:25">
      <c r="B12">
        <v>9</v>
      </c>
      <c r="C12">
        <v>10</v>
      </c>
      <c r="D12">
        <v>9</v>
      </c>
      <c r="E12" s="44" t="s">
        <v>435</v>
      </c>
      <c r="H12">
        <v>9</v>
      </c>
      <c r="U12">
        <v>1.26</v>
      </c>
    </row>
    <row r="13" spans="2:25">
      <c r="B13">
        <v>10</v>
      </c>
      <c r="D13">
        <v>10</v>
      </c>
      <c r="E13" s="44" t="s">
        <v>436</v>
      </c>
      <c r="H13">
        <v>10</v>
      </c>
      <c r="U13">
        <v>1.65</v>
      </c>
    </row>
    <row r="14" spans="2:25">
      <c r="E14" s="44" t="s">
        <v>437</v>
      </c>
      <c r="H14">
        <v>11</v>
      </c>
    </row>
    <row r="15" spans="2:25">
      <c r="H15">
        <v>12</v>
      </c>
      <c r="M15" s="90" t="s">
        <v>32</v>
      </c>
      <c r="N15" s="91"/>
      <c r="O15" s="54"/>
      <c r="P15" s="55"/>
    </row>
    <row r="16" spans="2:25">
      <c r="H16">
        <v>13</v>
      </c>
      <c r="M16" s="92" t="s">
        <v>31</v>
      </c>
      <c r="N16" s="74" t="s">
        <v>30</v>
      </c>
      <c r="O16" s="57"/>
      <c r="P16" s="80"/>
    </row>
    <row r="17" spans="8:28">
      <c r="H17">
        <v>14</v>
      </c>
      <c r="M17" s="86" t="s">
        <v>29</v>
      </c>
      <c r="N17" s="84" t="s">
        <v>0</v>
      </c>
      <c r="O17" s="93"/>
      <c r="P17" s="81"/>
    </row>
    <row r="18" spans="8:28">
      <c r="H18">
        <v>15</v>
      </c>
      <c r="K18" s="448">
        <f>Pump!D29</f>
        <v>2</v>
      </c>
      <c r="M18" s="72">
        <v>1</v>
      </c>
      <c r="N18" s="94">
        <v>4.4999999999999998E-2</v>
      </c>
      <c r="O18" s="78"/>
      <c r="P18" s="79"/>
    </row>
    <row r="19" spans="8:28">
      <c r="H19">
        <v>16</v>
      </c>
      <c r="M19" s="92">
        <v>1.25</v>
      </c>
      <c r="N19" s="95">
        <v>7.8E-2</v>
      </c>
      <c r="O19" s="57"/>
      <c r="P19" s="80"/>
      <c r="V19">
        <v>1</v>
      </c>
      <c r="Z19" t="b">
        <v>0</v>
      </c>
      <c r="AA19" t="b">
        <v>0</v>
      </c>
      <c r="AB19" t="b">
        <v>0</v>
      </c>
    </row>
    <row r="20" spans="8:28">
      <c r="H20">
        <v>17</v>
      </c>
      <c r="M20" s="92">
        <v>1.5</v>
      </c>
      <c r="N20" s="95">
        <v>0.11</v>
      </c>
      <c r="O20" s="57"/>
      <c r="P20" s="80"/>
      <c r="R20">
        <v>1.25</v>
      </c>
      <c r="S20">
        <f>VLOOKUP(R20,M18:N24,2)</f>
        <v>7.8E-2</v>
      </c>
    </row>
    <row r="21" spans="8:28">
      <c r="H21">
        <v>18</v>
      </c>
      <c r="M21" s="92">
        <v>2</v>
      </c>
      <c r="N21" s="95">
        <v>0.17</v>
      </c>
      <c r="O21" s="57"/>
      <c r="P21" s="80"/>
    </row>
    <row r="22" spans="8:28">
      <c r="H22">
        <v>19</v>
      </c>
      <c r="M22" s="92">
        <v>2.5</v>
      </c>
      <c r="N22" s="95">
        <v>0.25</v>
      </c>
      <c r="O22" s="57"/>
      <c r="P22" s="80"/>
    </row>
    <row r="23" spans="8:28">
      <c r="H23">
        <v>20</v>
      </c>
      <c r="M23" s="92">
        <v>3</v>
      </c>
      <c r="N23" s="95">
        <v>0.38</v>
      </c>
      <c r="O23" s="57"/>
      <c r="P23" s="80"/>
    </row>
    <row r="24" spans="8:28">
      <c r="H24">
        <v>21</v>
      </c>
      <c r="M24" s="86">
        <v>4</v>
      </c>
      <c r="N24" s="96">
        <v>0.66</v>
      </c>
      <c r="O24" s="93"/>
      <c r="P24" s="81"/>
    </row>
    <row r="25" spans="8:28">
      <c r="H25">
        <v>22</v>
      </c>
    </row>
    <row r="26" spans="8:28">
      <c r="H26">
        <v>23</v>
      </c>
    </row>
    <row r="27" spans="8:28">
      <c r="H27">
        <v>24</v>
      </c>
    </row>
    <row r="28" spans="8:28">
      <c r="H28">
        <v>25</v>
      </c>
    </row>
    <row r="29" spans="8:28">
      <c r="L29">
        <v>2</v>
      </c>
    </row>
    <row r="30" spans="8:28">
      <c r="L30">
        <v>3</v>
      </c>
    </row>
    <row r="31" spans="8:28">
      <c r="L31">
        <v>4</v>
      </c>
      <c r="O31">
        <v>4</v>
      </c>
      <c r="P31">
        <v>4</v>
      </c>
    </row>
    <row r="32" spans="8:28">
      <c r="L32">
        <v>5</v>
      </c>
      <c r="O32">
        <v>3.85</v>
      </c>
      <c r="P32">
        <v>4.17</v>
      </c>
    </row>
    <row r="33" spans="12:16">
      <c r="L33">
        <v>6</v>
      </c>
      <c r="O33">
        <v>3.7</v>
      </c>
      <c r="P33">
        <v>4.3499999999999996</v>
      </c>
    </row>
    <row r="34" spans="12:16">
      <c r="L34">
        <v>7</v>
      </c>
      <c r="O34">
        <v>3.57</v>
      </c>
      <c r="P34">
        <v>4.54</v>
      </c>
    </row>
    <row r="35" spans="12:16">
      <c r="L35">
        <v>8</v>
      </c>
      <c r="O35">
        <v>3.45</v>
      </c>
      <c r="P35">
        <v>4.76</v>
      </c>
    </row>
    <row r="36" spans="12:16">
      <c r="O36">
        <v>3.33</v>
      </c>
      <c r="P36">
        <v>5</v>
      </c>
    </row>
    <row r="37" spans="12:16">
      <c r="O37">
        <v>3.23</v>
      </c>
      <c r="P37">
        <v>5.26</v>
      </c>
    </row>
    <row r="38" spans="12:16">
      <c r="O38">
        <v>3.12</v>
      </c>
      <c r="P38">
        <v>5.56</v>
      </c>
    </row>
    <row r="39" spans="12:16">
      <c r="O39">
        <v>3.03</v>
      </c>
      <c r="P39">
        <v>5.85</v>
      </c>
    </row>
    <row r="40" spans="12:16">
      <c r="O40">
        <v>2.94</v>
      </c>
      <c r="P40">
        <v>6.25</v>
      </c>
    </row>
    <row r="41" spans="12:16">
      <c r="O41">
        <v>2.86</v>
      </c>
      <c r="P41">
        <v>6.67</v>
      </c>
    </row>
    <row r="42" spans="12:16">
      <c r="O42">
        <v>2.78</v>
      </c>
      <c r="P42">
        <v>7.14</v>
      </c>
    </row>
    <row r="43" spans="12:16">
      <c r="O43">
        <v>2.7</v>
      </c>
      <c r="P43">
        <v>7.69</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U537"/>
  <sheetViews>
    <sheetView showGridLines="0" topLeftCell="A91" zoomScale="90" zoomScaleNormal="90" workbookViewId="0">
      <selection activeCell="M112" sqref="M112"/>
    </sheetView>
  </sheetViews>
  <sheetFormatPr defaultRowHeight="12.75"/>
  <cols>
    <col min="1" max="1" width="6.5703125" style="3" customWidth="1"/>
    <col min="2" max="2" width="30.7109375" style="1" customWidth="1"/>
    <col min="3" max="3" width="15" style="1" customWidth="1"/>
    <col min="4" max="4" width="14.42578125" style="1" customWidth="1"/>
    <col min="5" max="5" width="11.85546875" style="1" customWidth="1"/>
    <col min="6" max="6" width="13.42578125" style="1" customWidth="1"/>
    <col min="7" max="7" width="21.28515625" style="1" customWidth="1"/>
    <col min="8" max="8" width="7.140625" style="1" customWidth="1"/>
    <col min="9" max="9" width="2.140625" style="1" customWidth="1"/>
    <col min="10" max="10" width="4.28515625" style="1" customWidth="1"/>
    <col min="11" max="11" width="9.140625" style="1" hidden="1" customWidth="1"/>
    <col min="12" max="12" width="5.85546875" style="1" customWidth="1"/>
    <col min="13" max="13" width="12.28515625" style="1" bestFit="1" customWidth="1"/>
    <col min="14" max="14" width="12.42578125" style="530" customWidth="1"/>
    <col min="15" max="15" width="8.140625" style="530" customWidth="1"/>
    <col min="16" max="16" width="24.7109375" style="530" bestFit="1" customWidth="1"/>
    <col min="17" max="17" width="12.85546875" style="530" customWidth="1"/>
    <col min="18" max="18" width="6.7109375" style="2" customWidth="1"/>
    <col min="19" max="19" width="19.5703125" style="1" customWidth="1"/>
    <col min="20" max="20" width="9.140625" style="2"/>
    <col min="21" max="21" width="5.7109375" style="1" customWidth="1"/>
    <col min="22" max="16384" width="9.140625" style="1"/>
  </cols>
  <sheetData>
    <row r="1" spans="1:21" ht="18" customHeight="1">
      <c r="A1" s="775" t="s">
        <v>781</v>
      </c>
      <c r="B1" s="776"/>
      <c r="C1" s="776"/>
      <c r="D1" s="776"/>
      <c r="E1" s="591" t="s">
        <v>422</v>
      </c>
      <c r="F1" s="824">
        <f>'Site Evaluation'!J1</f>
        <v>2345</v>
      </c>
      <c r="G1" s="824"/>
      <c r="H1" s="824"/>
      <c r="I1" s="824"/>
      <c r="J1" s="825"/>
    </row>
    <row r="2" spans="1:21" ht="15" customHeight="1">
      <c r="A2" s="777"/>
      <c r="B2" s="778"/>
      <c r="C2" s="778"/>
      <c r="D2" s="778"/>
      <c r="E2" s="606" t="s">
        <v>803</v>
      </c>
      <c r="F2" s="804" t="str">
        <f>IF(ISBLANK('Site Evaluation'!B6),"",('Site Evaluation'!B6))</f>
        <v/>
      </c>
      <c r="G2" s="804"/>
      <c r="H2" s="804"/>
      <c r="I2" s="804"/>
      <c r="J2" s="805"/>
    </row>
    <row r="3" spans="1:21" ht="12.75" customHeight="1">
      <c r="A3" s="299"/>
      <c r="B3" s="242"/>
      <c r="C3" s="243"/>
      <c r="D3" s="242"/>
      <c r="E3" s="243"/>
      <c r="F3" s="242"/>
      <c r="G3" s="242"/>
      <c r="H3" s="242"/>
      <c r="I3" s="242"/>
      <c r="J3" s="242"/>
      <c r="K3" s="242"/>
      <c r="L3" s="242"/>
      <c r="M3" s="242"/>
      <c r="N3" s="242"/>
      <c r="O3" s="242"/>
      <c r="P3" s="242"/>
      <c r="Q3" s="242"/>
      <c r="R3" s="242"/>
      <c r="S3" s="242"/>
      <c r="T3" s="242"/>
      <c r="U3" s="242"/>
    </row>
    <row r="4" spans="1:21" ht="15.75">
      <c r="A4" s="349" t="s">
        <v>722</v>
      </c>
      <c r="B4" s="806" t="s">
        <v>723</v>
      </c>
      <c r="C4" s="806"/>
      <c r="D4" s="806"/>
      <c r="E4" s="352"/>
      <c r="F4" s="353"/>
      <c r="G4" s="353"/>
      <c r="H4" s="353"/>
      <c r="I4" s="353"/>
      <c r="J4" s="355"/>
      <c r="K4" s="242"/>
      <c r="L4" s="242"/>
      <c r="M4" s="242"/>
      <c r="N4" s="242"/>
      <c r="O4" s="242"/>
      <c r="P4" s="242"/>
      <c r="Q4" s="242"/>
      <c r="R4" s="242"/>
      <c r="S4" s="242"/>
      <c r="T4" s="242"/>
      <c r="U4" s="242"/>
    </row>
    <row r="5" spans="1:21" ht="12.95" customHeight="1">
      <c r="A5" s="297"/>
      <c r="B5" s="298"/>
      <c r="C5" s="374"/>
      <c r="D5" s="242"/>
      <c r="E5" s="243"/>
      <c r="F5" s="242"/>
      <c r="G5" s="242"/>
      <c r="H5" s="242"/>
      <c r="I5" s="242"/>
      <c r="J5" s="242"/>
      <c r="K5" s="242"/>
      <c r="L5" s="299"/>
      <c r="M5" s="242"/>
      <c r="N5" s="244"/>
      <c r="O5" s="242"/>
      <c r="P5" s="526" t="s">
        <v>768</v>
      </c>
      <c r="Q5" s="537">
        <f>C48</f>
        <v>7.14</v>
      </c>
      <c r="R5" s="242" t="s">
        <v>26</v>
      </c>
      <c r="S5" s="242"/>
      <c r="T5" s="242"/>
      <c r="U5" s="242"/>
    </row>
    <row r="6" spans="1:21" ht="15.75">
      <c r="A6" s="299" t="s">
        <v>137</v>
      </c>
      <c r="B6" s="242"/>
      <c r="C6" s="548">
        <f>IF(ISBLANK('Site Evaluation'!E26),"",'Site Evaluation'!E26)</f>
        <v>450</v>
      </c>
      <c r="D6" s="242" t="s">
        <v>134</v>
      </c>
      <c r="E6" s="243"/>
      <c r="F6" s="242"/>
      <c r="G6" s="242"/>
      <c r="H6" s="242"/>
      <c r="I6" s="242"/>
      <c r="J6" s="242"/>
      <c r="K6" s="242"/>
      <c r="L6" s="299"/>
      <c r="M6" s="242"/>
      <c r="N6" s="242"/>
      <c r="O6" s="242"/>
      <c r="P6" s="242"/>
      <c r="Q6" s="242"/>
      <c r="R6" s="242"/>
      <c r="S6" s="242"/>
      <c r="T6" s="242"/>
      <c r="U6" s="242"/>
    </row>
    <row r="7" spans="1:21" ht="9" customHeight="1">
      <c r="A7" s="302"/>
      <c r="B7" s="244"/>
      <c r="C7" s="245"/>
      <c r="D7" s="244"/>
      <c r="E7" s="244"/>
      <c r="F7" s="245"/>
      <c r="G7" s="244"/>
      <c r="H7" s="244"/>
      <c r="I7" s="245"/>
      <c r="J7" s="244"/>
      <c r="K7" s="242"/>
      <c r="L7" s="541" t="s">
        <v>26</v>
      </c>
      <c r="M7" s="242"/>
      <c r="N7" s="242"/>
      <c r="O7" s="242"/>
      <c r="P7" s="242"/>
      <c r="Q7" s="242"/>
      <c r="R7" s="242"/>
      <c r="S7" s="242"/>
      <c r="T7" s="242"/>
      <c r="U7" s="242"/>
    </row>
    <row r="8" spans="1:21" ht="15.75">
      <c r="A8" s="349" t="s">
        <v>133</v>
      </c>
      <c r="B8" s="806" t="s">
        <v>418</v>
      </c>
      <c r="C8" s="806"/>
      <c r="D8" s="806"/>
      <c r="E8" s="352"/>
      <c r="F8" s="352"/>
      <c r="G8" s="353"/>
      <c r="H8" s="353"/>
      <c r="I8" s="352"/>
      <c r="J8" s="355"/>
      <c r="K8" s="242"/>
      <c r="L8" s="821">
        <f xml:space="preserve">    F77</f>
        <v>25.340000000000003</v>
      </c>
      <c r="M8" s="242"/>
      <c r="N8" s="242"/>
      <c r="O8" s="242"/>
      <c r="P8" s="242"/>
      <c r="Q8" s="242"/>
      <c r="R8" s="242"/>
      <c r="S8" s="242"/>
      <c r="T8" s="242"/>
      <c r="U8" s="242"/>
    </row>
    <row r="9" spans="1:21" ht="15.75">
      <c r="A9" s="297"/>
      <c r="B9" s="300"/>
      <c r="C9" s="245"/>
      <c r="D9" s="244"/>
      <c r="E9" s="245"/>
      <c r="F9" s="245"/>
      <c r="G9" s="244"/>
      <c r="H9" s="244"/>
      <c r="I9" s="245"/>
      <c r="J9" s="244"/>
      <c r="K9" s="242"/>
      <c r="L9" s="821"/>
      <c r="M9" s="242" t="s">
        <v>769</v>
      </c>
      <c r="N9" s="242"/>
      <c r="O9" s="242"/>
      <c r="P9" s="542" t="s">
        <v>770</v>
      </c>
      <c r="Q9" s="242"/>
      <c r="R9" s="822" t="s">
        <v>771</v>
      </c>
      <c r="S9" s="822"/>
      <c r="T9" s="822"/>
      <c r="U9" s="822"/>
    </row>
    <row r="10" spans="1:21" ht="15.75">
      <c r="A10" s="299"/>
      <c r="B10" s="242" t="s">
        <v>131</v>
      </c>
      <c r="C10" s="243"/>
      <c r="D10" s="548">
        <f>IF(ISBLANK('Site Evaluation'!E74),"",'Site Evaluation'!E74)</f>
        <v>1500</v>
      </c>
      <c r="E10" s="243" t="s">
        <v>0</v>
      </c>
      <c r="I10" s="245"/>
      <c r="J10" s="242"/>
      <c r="K10" s="242"/>
      <c r="L10" s="821"/>
      <c r="M10" s="242" t="s">
        <v>772</v>
      </c>
      <c r="N10" s="537">
        <f>C48</f>
        <v>7.14</v>
      </c>
      <c r="O10" s="242"/>
      <c r="P10" s="525" t="s">
        <v>773</v>
      </c>
      <c r="Q10" s="537">
        <f>F27</f>
        <v>13.200000000000001</v>
      </c>
      <c r="R10" s="242" t="s">
        <v>26</v>
      </c>
      <c r="T10" s="543">
        <f>C48</f>
        <v>7.14</v>
      </c>
      <c r="U10" s="242" t="s">
        <v>26</v>
      </c>
    </row>
    <row r="11" spans="1:21" ht="15.75">
      <c r="A11" s="299"/>
      <c r="B11" s="242" t="s">
        <v>161</v>
      </c>
      <c r="C11" s="243"/>
      <c r="D11" s="548" t="str">
        <f>IF(DropDownList!Q2=TRUE,"Yes","No")</f>
        <v>No</v>
      </c>
      <c r="E11" s="243"/>
      <c r="F11" s="243"/>
      <c r="G11" s="242"/>
      <c r="H11" s="242"/>
      <c r="I11" s="242"/>
      <c r="J11" s="242"/>
      <c r="K11" s="245"/>
      <c r="L11" s="823" t="s">
        <v>774</v>
      </c>
      <c r="M11" s="242"/>
      <c r="N11" s="242"/>
      <c r="O11" s="242"/>
      <c r="P11" s="525" t="s">
        <v>775</v>
      </c>
      <c r="Q11" s="537">
        <f>F81</f>
        <v>75</v>
      </c>
      <c r="R11" s="242" t="s">
        <v>26</v>
      </c>
      <c r="S11" s="242"/>
      <c r="T11" s="242"/>
      <c r="U11" s="242"/>
    </row>
    <row r="12" spans="1:21" ht="15.75">
      <c r="A12" s="299"/>
      <c r="B12" s="528" t="s">
        <v>162</v>
      </c>
      <c r="C12" s="242"/>
      <c r="D12" s="548">
        <f>IF(ISBLANK('Site Evaluation'!J74),"",'Site Evaluation'!J74)</f>
        <v>1</v>
      </c>
      <c r="E12" s="243"/>
      <c r="F12" s="243"/>
      <c r="G12" s="242"/>
      <c r="H12" s="242"/>
      <c r="I12" s="242"/>
      <c r="J12" s="242"/>
      <c r="K12" s="245"/>
      <c r="L12" s="823"/>
      <c r="M12" s="242"/>
      <c r="N12" s="242"/>
      <c r="O12" s="242"/>
      <c r="P12" s="242"/>
      <c r="Q12" s="242"/>
      <c r="R12" s="242"/>
      <c r="S12" s="242"/>
      <c r="T12" s="242"/>
      <c r="U12" s="242"/>
    </row>
    <row r="13" spans="1:21" ht="7.5" customHeight="1">
      <c r="A13" s="299"/>
      <c r="B13" s="528"/>
      <c r="C13" s="242"/>
      <c r="D13" s="549"/>
      <c r="E13" s="243"/>
      <c r="F13" s="243"/>
      <c r="G13" s="242"/>
      <c r="H13" s="242"/>
      <c r="I13" s="242"/>
      <c r="J13" s="242"/>
      <c r="K13" s="245"/>
      <c r="L13" s="823"/>
      <c r="M13" s="242"/>
      <c r="N13" s="242"/>
      <c r="O13" s="242"/>
      <c r="P13" s="242"/>
      <c r="Q13" s="242"/>
      <c r="R13" s="242"/>
      <c r="S13" s="242"/>
      <c r="T13" s="242"/>
      <c r="U13" s="242"/>
    </row>
    <row r="14" spans="1:21" ht="15.75">
      <c r="A14" s="349" t="s">
        <v>130</v>
      </c>
      <c r="B14" s="806" t="s">
        <v>591</v>
      </c>
      <c r="C14" s="806"/>
      <c r="D14" s="806"/>
      <c r="E14" s="352"/>
      <c r="F14" s="353"/>
      <c r="G14" s="353"/>
      <c r="H14" s="546"/>
      <c r="I14" s="546"/>
      <c r="J14" s="354"/>
      <c r="K14" s="245"/>
      <c r="L14" s="823"/>
      <c r="M14" s="242"/>
      <c r="N14" s="242"/>
      <c r="O14" s="242"/>
      <c r="P14" s="242"/>
      <c r="Q14" s="242"/>
      <c r="R14" s="242"/>
      <c r="S14" s="242"/>
      <c r="T14" s="242"/>
      <c r="U14" s="242"/>
    </row>
    <row r="15" spans="1:21" ht="12.95" customHeight="1">
      <c r="A15" s="301"/>
      <c r="B15" s="300"/>
      <c r="C15" s="300"/>
      <c r="D15" s="242"/>
      <c r="E15" s="243"/>
      <c r="F15" s="242"/>
      <c r="G15" s="242"/>
      <c r="H15" s="535"/>
      <c r="I15" s="535"/>
      <c r="J15" s="245"/>
      <c r="K15" s="245"/>
      <c r="L15" s="823"/>
      <c r="M15" s="242"/>
      <c r="N15" s="242"/>
      <c r="O15" s="242"/>
      <c r="P15" s="242"/>
      <c r="Q15" s="242"/>
      <c r="R15" s="242"/>
      <c r="S15" s="242"/>
      <c r="T15" s="242"/>
      <c r="U15" s="242"/>
    </row>
    <row r="16" spans="1:21" ht="15">
      <c r="A16" s="536" t="s">
        <v>724</v>
      </c>
      <c r="B16" s="242" t="s">
        <v>725</v>
      </c>
      <c r="C16" s="243"/>
      <c r="D16" s="550">
        <f>IF(ISBLANK('Site Evaluation'!H59),"",'Site Evaluation'!H59)</f>
        <v>4</v>
      </c>
      <c r="E16" s="242" t="s">
        <v>26</v>
      </c>
      <c r="G16" s="242"/>
      <c r="H16" s="535"/>
      <c r="I16" s="535"/>
      <c r="J16" s="245"/>
      <c r="K16" s="245"/>
      <c r="L16" s="823"/>
      <c r="M16" s="242"/>
      <c r="N16" s="242"/>
      <c r="O16" s="242"/>
      <c r="P16" s="526" t="s">
        <v>776</v>
      </c>
      <c r="Q16" s="537">
        <f>C73</f>
        <v>18.200000000000003</v>
      </c>
      <c r="R16" s="242" t="s">
        <v>26</v>
      </c>
      <c r="S16" s="242"/>
      <c r="T16" s="242"/>
      <c r="U16" s="242"/>
    </row>
    <row r="17" spans="1:21" ht="16.5" customHeight="1">
      <c r="A17" s="536">
        <f>A16+1</f>
        <v>2</v>
      </c>
      <c r="B17" s="242" t="s">
        <v>126</v>
      </c>
      <c r="C17" s="528"/>
      <c r="D17" s="551" t="str">
        <f>IF(ISBLANK('Site Evaluation'!C47),"",'Site Evaluation'!C47)</f>
        <v>Clay Loam</v>
      </c>
      <c r="E17" s="243"/>
      <c r="F17" s="242"/>
      <c r="G17" s="242"/>
      <c r="H17" s="245"/>
      <c r="I17" s="245"/>
      <c r="J17" s="242"/>
      <c r="K17" s="245"/>
      <c r="L17" s="823"/>
      <c r="M17" s="242"/>
      <c r="N17" s="242"/>
      <c r="O17" s="242"/>
      <c r="P17" s="242"/>
      <c r="Q17" s="242"/>
      <c r="R17" s="242"/>
      <c r="S17" s="242"/>
      <c r="T17" s="242"/>
      <c r="U17" s="242"/>
    </row>
    <row r="18" spans="1:21" ht="18">
      <c r="A18" s="536">
        <f>A17+1</f>
        <v>3</v>
      </c>
      <c r="B18" s="242" t="s">
        <v>726</v>
      </c>
      <c r="C18" s="242"/>
      <c r="D18" s="551">
        <f>IF(ISBLANK('Site Evaluation'!E65),"",'Site Evaluation'!E65)</f>
        <v>2.2000000000000002</v>
      </c>
      <c r="E18" s="242" t="s">
        <v>642</v>
      </c>
      <c r="F18" s="243"/>
      <c r="G18" s="242"/>
      <c r="H18" s="242"/>
      <c r="I18" s="242"/>
      <c r="J18" s="242"/>
      <c r="K18" s="242"/>
      <c r="L18" s="544"/>
      <c r="M18" s="242"/>
      <c r="N18" s="242"/>
      <c r="O18" s="242"/>
      <c r="P18" s="242"/>
      <c r="Q18" s="242"/>
      <c r="R18" s="242"/>
      <c r="S18" s="242"/>
      <c r="T18" s="242"/>
      <c r="U18" s="242"/>
    </row>
    <row r="19" spans="1:21" ht="15">
      <c r="A19" s="536">
        <f>A18+1</f>
        <v>4</v>
      </c>
      <c r="B19" s="242" t="s">
        <v>727</v>
      </c>
      <c r="C19" s="243"/>
      <c r="D19" s="547">
        <f>IF(ISBLANK('Site Evaluation'!J77),"",'Site Evaluation'!J77)</f>
        <v>6</v>
      </c>
      <c r="E19" s="242" t="s">
        <v>788</v>
      </c>
      <c r="F19" s="242"/>
      <c r="G19" s="242"/>
      <c r="H19" s="242"/>
      <c r="I19" s="242"/>
      <c r="J19" s="242"/>
      <c r="K19" s="242"/>
      <c r="L19" s="544"/>
      <c r="M19" s="242"/>
      <c r="N19" s="242"/>
      <c r="O19" s="242"/>
      <c r="P19" s="242"/>
      <c r="Q19" s="242"/>
      <c r="R19" s="242"/>
      <c r="S19" s="242"/>
      <c r="T19" s="242"/>
      <c r="U19" s="242"/>
    </row>
    <row r="20" spans="1:21" ht="15">
      <c r="A20" s="536">
        <f>A19+1</f>
        <v>5</v>
      </c>
      <c r="B20" s="242" t="s">
        <v>728</v>
      </c>
      <c r="C20" s="243"/>
      <c r="D20" s="547">
        <f>IF(ISBLANK('Site Evaluation'!E61),"",'Site Evaluation'!E61)</f>
        <v>3</v>
      </c>
      <c r="E20" s="525" t="s">
        <v>121</v>
      </c>
      <c r="F20" s="242"/>
      <c r="G20" s="242"/>
      <c r="H20" s="242"/>
      <c r="I20" s="242"/>
      <c r="J20" s="242"/>
      <c r="K20" s="242"/>
      <c r="L20" s="544"/>
      <c r="M20" s="242"/>
      <c r="N20" s="242"/>
      <c r="O20" s="242"/>
      <c r="P20" s="242"/>
      <c r="Q20" s="242"/>
      <c r="R20" s="242"/>
      <c r="S20" s="242"/>
      <c r="T20" s="242"/>
      <c r="U20" s="242"/>
    </row>
    <row r="21" spans="1:21" ht="15">
      <c r="A21" s="536">
        <f>A20+1</f>
        <v>6</v>
      </c>
      <c r="B21" s="244" t="s">
        <v>782</v>
      </c>
      <c r="C21" s="434"/>
      <c r="D21" s="547">
        <f>IF(DropDownList!N2=1,'Site Evaluation'!H69,'Site Evaluation'!E71)</f>
        <v>45</v>
      </c>
      <c r="E21" s="244" t="s">
        <v>124</v>
      </c>
      <c r="F21" s="242"/>
      <c r="G21" s="242"/>
      <c r="H21" s="242"/>
      <c r="I21" s="242"/>
      <c r="J21" s="242"/>
      <c r="K21" s="242"/>
      <c r="L21" s="544"/>
      <c r="M21" s="242"/>
      <c r="N21" s="242"/>
      <c r="O21" s="242"/>
      <c r="P21" s="242"/>
      <c r="Q21" s="242"/>
      <c r="R21" s="242"/>
      <c r="S21" s="242"/>
      <c r="T21" s="242"/>
      <c r="U21" s="242"/>
    </row>
    <row r="22" spans="1:21" ht="10.5" customHeight="1">
      <c r="A22" s="536"/>
      <c r="B22" s="244"/>
      <c r="C22" s="434"/>
      <c r="D22" s="245"/>
      <c r="E22" s="244"/>
      <c r="F22" s="242"/>
      <c r="G22" s="242"/>
      <c r="H22" s="242"/>
      <c r="I22" s="242"/>
      <c r="J22" s="242"/>
      <c r="K22" s="242"/>
      <c r="L22" s="544"/>
      <c r="M22" s="242"/>
      <c r="N22" s="242"/>
      <c r="O22" s="242" t="s">
        <v>777</v>
      </c>
      <c r="P22" s="242"/>
      <c r="Q22" s="537">
        <f>H85</f>
        <v>89.28</v>
      </c>
      <c r="R22" s="242" t="s">
        <v>26</v>
      </c>
      <c r="S22" s="242"/>
      <c r="T22" s="242"/>
      <c r="U22" s="242"/>
    </row>
    <row r="23" spans="1:21" ht="15.75">
      <c r="A23" s="349" t="s">
        <v>120</v>
      </c>
      <c r="B23" s="806" t="s">
        <v>729</v>
      </c>
      <c r="C23" s="806"/>
      <c r="D23" s="806"/>
      <c r="E23" s="352"/>
      <c r="F23" s="353"/>
      <c r="G23" s="353"/>
      <c r="H23" s="353"/>
      <c r="I23" s="353"/>
      <c r="J23" s="355"/>
      <c r="K23" s="242"/>
      <c r="L23" s="299"/>
      <c r="M23" s="242"/>
      <c r="N23" s="242"/>
      <c r="O23" s="242"/>
      <c r="P23" s="242"/>
      <c r="Q23" s="242"/>
      <c r="R23" s="242"/>
      <c r="S23" s="242"/>
      <c r="T23" s="242"/>
      <c r="U23" s="242"/>
    </row>
    <row r="24" spans="1:21" ht="12.95" customHeight="1">
      <c r="A24" s="297"/>
      <c r="B24" s="298"/>
      <c r="C24" s="243"/>
      <c r="D24" s="242"/>
      <c r="E24" s="243"/>
      <c r="F24" s="242"/>
      <c r="G24" s="242"/>
      <c r="H24" s="242"/>
      <c r="I24" s="242"/>
      <c r="J24" s="242"/>
      <c r="K24" s="242"/>
      <c r="L24" s="299"/>
      <c r="M24" s="242"/>
      <c r="N24" s="242"/>
      <c r="O24" s="242"/>
      <c r="P24" s="242"/>
      <c r="Q24" s="242"/>
      <c r="R24" s="242"/>
      <c r="S24" s="242"/>
      <c r="T24" s="242"/>
      <c r="U24" s="242"/>
    </row>
    <row r="25" spans="1:21" ht="12.95" customHeight="1">
      <c r="A25" s="299"/>
      <c r="B25" s="242" t="s">
        <v>730</v>
      </c>
      <c r="C25" s="243"/>
      <c r="D25" s="242"/>
      <c r="E25" s="243"/>
      <c r="F25" s="242"/>
      <c r="G25" s="242"/>
      <c r="H25" s="242"/>
      <c r="I25" s="242"/>
      <c r="J25" s="242"/>
      <c r="K25" s="242"/>
      <c r="L25" s="299"/>
      <c r="M25" s="242"/>
      <c r="N25" s="242"/>
      <c r="O25" s="242"/>
      <c r="P25" s="242"/>
      <c r="Q25" s="242"/>
      <c r="R25" s="242"/>
      <c r="S25" s="242"/>
      <c r="T25" s="242"/>
      <c r="U25" s="242"/>
    </row>
    <row r="26" spans="1:21" ht="12.95" customHeight="1" thickBot="1">
      <c r="A26" s="299"/>
      <c r="B26" s="242"/>
      <c r="C26" s="243"/>
      <c r="D26" s="242"/>
      <c r="E26" s="243"/>
      <c r="F26" s="242"/>
      <c r="G26" s="242"/>
      <c r="H26" s="242"/>
      <c r="I26" s="242"/>
      <c r="J26" s="242"/>
      <c r="K26" s="242"/>
      <c r="L26" s="299"/>
      <c r="M26" s="242"/>
      <c r="N26" s="242"/>
      <c r="O26" s="242"/>
      <c r="P26" s="242"/>
      <c r="Q26" s="242"/>
      <c r="R26" s="242"/>
      <c r="S26" s="242"/>
      <c r="T26" s="242"/>
      <c r="U26" s="242"/>
    </row>
    <row r="27" spans="1:21" ht="19.5" thickBot="1">
      <c r="A27" s="299"/>
      <c r="B27" s="547">
        <f>D19</f>
        <v>6</v>
      </c>
      <c r="C27" s="243" t="s">
        <v>731</v>
      </c>
      <c r="D27" s="547">
        <f>D18</f>
        <v>2.2000000000000002</v>
      </c>
      <c r="E27" s="242" t="s">
        <v>783</v>
      </c>
      <c r="F27" s="552">
        <f>B27*D27</f>
        <v>13.200000000000001</v>
      </c>
      <c r="G27" s="242" t="s">
        <v>26</v>
      </c>
      <c r="H27" s="242"/>
      <c r="I27" s="242"/>
      <c r="J27" s="242"/>
      <c r="K27" s="242"/>
      <c r="L27" s="299"/>
      <c r="M27" s="242"/>
      <c r="N27" s="242"/>
      <c r="O27" s="242"/>
      <c r="P27" s="242"/>
      <c r="Q27" s="242"/>
      <c r="R27" s="242"/>
      <c r="S27" s="242"/>
      <c r="T27" s="242"/>
      <c r="U27" s="242"/>
    </row>
    <row r="28" spans="1:21" ht="12.75" customHeight="1">
      <c r="A28" s="299"/>
      <c r="B28" s="242"/>
      <c r="C28" s="243"/>
      <c r="D28" s="242"/>
      <c r="E28" s="243"/>
      <c r="F28" s="242"/>
      <c r="G28" s="242"/>
      <c r="H28" s="242"/>
      <c r="I28" s="242"/>
      <c r="J28" s="242"/>
      <c r="K28" s="242"/>
      <c r="L28" s="299"/>
      <c r="M28" s="242"/>
      <c r="N28" s="242"/>
      <c r="O28" s="242"/>
      <c r="P28" s="242"/>
      <c r="Q28" s="242"/>
      <c r="R28" s="242"/>
      <c r="S28" s="242"/>
      <c r="T28" s="242"/>
      <c r="U28" s="242"/>
    </row>
    <row r="29" spans="1:21" ht="15.75">
      <c r="A29" s="349" t="s">
        <v>732</v>
      </c>
      <c r="B29" s="806" t="s">
        <v>733</v>
      </c>
      <c r="C29" s="806"/>
      <c r="D29" s="806"/>
      <c r="E29" s="352"/>
      <c r="F29" s="353"/>
      <c r="G29" s="353"/>
      <c r="H29" s="353"/>
      <c r="I29" s="353"/>
      <c r="J29" s="355"/>
      <c r="K29" s="242"/>
      <c r="L29" s="299"/>
      <c r="M29" s="242"/>
      <c r="N29" s="242"/>
      <c r="O29" s="242"/>
      <c r="P29" s="242"/>
      <c r="Q29" s="242"/>
      <c r="R29" s="242"/>
      <c r="S29" s="242"/>
      <c r="T29" s="242"/>
      <c r="U29" s="242"/>
    </row>
    <row r="30" spans="1:21" ht="8.25" customHeight="1" thickBot="1">
      <c r="A30" s="297"/>
      <c r="B30" s="298"/>
      <c r="C30" s="243"/>
      <c r="D30" s="242"/>
      <c r="E30" s="243"/>
      <c r="F30" s="242"/>
      <c r="G30" s="242"/>
      <c r="H30" s="242"/>
      <c r="I30" s="242"/>
      <c r="J30" s="242"/>
      <c r="K30" s="242"/>
      <c r="L30" s="299"/>
      <c r="M30" s="242"/>
      <c r="N30" s="242"/>
      <c r="O30" s="242"/>
      <c r="P30" s="242"/>
      <c r="Q30" s="242"/>
      <c r="R30" s="242"/>
      <c r="S30" s="242"/>
      <c r="T30" s="242"/>
      <c r="U30" s="242"/>
    </row>
    <row r="31" spans="1:21" ht="16.5" thickBot="1">
      <c r="A31" s="561">
        <v>1</v>
      </c>
      <c r="B31" s="298" t="s">
        <v>734</v>
      </c>
      <c r="C31" s="243"/>
      <c r="D31" s="553">
        <v>2</v>
      </c>
      <c r="E31" s="242" t="s">
        <v>128</v>
      </c>
      <c r="F31" s="242"/>
      <c r="G31" s="242"/>
      <c r="H31" s="242"/>
      <c r="I31" s="242"/>
      <c r="J31" s="242"/>
      <c r="K31" s="242"/>
      <c r="L31" s="299"/>
      <c r="M31" s="242"/>
      <c r="N31" s="242"/>
      <c r="O31" s="242"/>
      <c r="P31" s="242"/>
      <c r="Q31" s="242"/>
      <c r="R31" s="242"/>
      <c r="S31" s="242"/>
      <c r="T31" s="242"/>
      <c r="U31" s="242"/>
    </row>
    <row r="32" spans="1:21" ht="7.5" customHeight="1" thickBot="1">
      <c r="A32" s="554"/>
      <c r="B32" s="555"/>
      <c r="C32" s="556"/>
      <c r="D32" s="556"/>
      <c r="E32" s="555"/>
      <c r="F32" s="555"/>
      <c r="G32" s="555"/>
      <c r="H32" s="555"/>
      <c r="I32" s="555"/>
      <c r="J32" s="555"/>
      <c r="K32" s="242"/>
      <c r="L32" s="299"/>
      <c r="M32" s="242"/>
      <c r="N32" s="242"/>
      <c r="O32" s="242"/>
      <c r="P32" s="242"/>
      <c r="Q32" s="242"/>
      <c r="R32" s="242"/>
      <c r="S32" s="242"/>
      <c r="T32" s="242"/>
      <c r="U32" s="242"/>
    </row>
    <row r="33" spans="1:21" ht="12.95" customHeight="1" thickTop="1">
      <c r="A33" s="536"/>
      <c r="B33" s="242"/>
      <c r="C33" s="243"/>
      <c r="D33" s="245"/>
      <c r="E33" s="242"/>
      <c r="F33" s="242"/>
      <c r="G33" s="242"/>
      <c r="H33" s="242"/>
      <c r="I33" s="242"/>
      <c r="J33" s="242"/>
      <c r="K33" s="242"/>
      <c r="L33" s="299"/>
      <c r="M33" s="242"/>
      <c r="N33" s="242"/>
      <c r="O33" s="242"/>
      <c r="P33" s="242"/>
      <c r="Q33" s="242"/>
      <c r="R33" s="242"/>
      <c r="S33" s="242"/>
      <c r="T33" s="242"/>
      <c r="U33" s="242"/>
    </row>
    <row r="34" spans="1:21" ht="12.95" customHeight="1">
      <c r="A34" s="561">
        <f>A31+1</f>
        <v>2</v>
      </c>
      <c r="B34" s="298" t="s">
        <v>735</v>
      </c>
      <c r="C34" s="243"/>
      <c r="D34" s="242"/>
      <c r="E34" s="243"/>
      <c r="F34" s="242"/>
      <c r="G34" s="242"/>
      <c r="H34" s="242"/>
      <c r="I34" s="242"/>
      <c r="J34" s="242"/>
      <c r="K34" s="242"/>
      <c r="L34" s="299"/>
      <c r="M34" s="242"/>
      <c r="N34" s="242"/>
      <c r="O34" s="242"/>
      <c r="P34" s="242"/>
      <c r="Q34" s="242"/>
      <c r="R34" s="242"/>
      <c r="S34" s="242"/>
      <c r="T34" s="242"/>
      <c r="U34" s="242"/>
    </row>
    <row r="35" spans="1:21" ht="12.95" customHeight="1" thickBot="1">
      <c r="A35" s="536"/>
      <c r="B35" s="242"/>
      <c r="C35" s="243"/>
      <c r="D35" s="242"/>
      <c r="E35" s="243"/>
      <c r="F35" s="242"/>
      <c r="G35" s="242"/>
      <c r="H35" s="242"/>
      <c r="I35" s="242"/>
      <c r="J35" s="242"/>
      <c r="K35" s="242"/>
      <c r="L35" s="299"/>
      <c r="M35" s="242"/>
      <c r="N35" s="242"/>
      <c r="O35" s="242"/>
      <c r="P35" s="242"/>
      <c r="Q35" s="242"/>
      <c r="R35" s="242"/>
      <c r="S35" s="242"/>
      <c r="T35" s="242"/>
      <c r="U35" s="242"/>
    </row>
    <row r="36" spans="1:21" ht="16.5" thickBot="1">
      <c r="A36" s="536"/>
      <c r="B36" s="242" t="s">
        <v>805</v>
      </c>
      <c r="C36" s="243"/>
      <c r="D36" s="242"/>
      <c r="E36" s="243"/>
      <c r="F36" s="242"/>
      <c r="G36" s="596">
        <f>IF(D20=0,4,IF(D20=1,3.85,IF(D20=2,3.7,IF(D20=3,3.57,IF(D20=4,3.45,IF(D20=5,3.33,IF(D20=6,3.23,IF(D20=7,3.12,IF(D20=8,3.03,IF(D20=9,2.94,IF(D20=10,2.86,IF(D20=11,2.78,IF(D20=12,2.7,"")))))))))))))</f>
        <v>3.57</v>
      </c>
      <c r="H36" s="244"/>
      <c r="I36" s="244"/>
      <c r="J36" s="242"/>
      <c r="K36" s="242"/>
      <c r="L36" s="299"/>
      <c r="M36" s="242"/>
      <c r="N36" s="242"/>
      <c r="O36" s="242"/>
      <c r="P36" s="242"/>
      <c r="Q36" s="242"/>
      <c r="R36" s="242"/>
      <c r="S36" s="242"/>
      <c r="T36" s="242"/>
      <c r="U36" s="242"/>
    </row>
    <row r="37" spans="1:21" ht="12.95" customHeight="1">
      <c r="A37" s="536"/>
      <c r="B37" s="242"/>
      <c r="C37" s="243"/>
      <c r="D37" s="242"/>
      <c r="E37" s="243"/>
      <c r="F37" s="242"/>
      <c r="G37" s="331"/>
      <c r="H37" s="244"/>
      <c r="I37" s="244"/>
      <c r="J37" s="242"/>
      <c r="K37" s="242"/>
      <c r="L37" s="299"/>
      <c r="M37" s="242"/>
      <c r="N37" s="242"/>
      <c r="O37" s="242"/>
      <c r="P37" s="242"/>
      <c r="Q37" s="243" t="s">
        <v>778</v>
      </c>
      <c r="R37" s="545"/>
      <c r="S37" s="242"/>
      <c r="T37" s="242"/>
      <c r="U37" s="242"/>
    </row>
    <row r="38" spans="1:21" ht="12.95" customHeight="1">
      <c r="A38" s="536"/>
      <c r="B38" s="242" t="s">
        <v>736</v>
      </c>
      <c r="C38" s="243"/>
      <c r="D38" s="242"/>
      <c r="E38" s="243"/>
      <c r="F38" s="242"/>
      <c r="G38" s="242"/>
      <c r="H38" s="242"/>
      <c r="I38" s="242"/>
      <c r="J38" s="242"/>
      <c r="K38" s="242"/>
      <c r="L38" s="299"/>
      <c r="M38" s="242"/>
      <c r="N38" s="242"/>
      <c r="O38" s="242"/>
      <c r="P38" s="242"/>
      <c r="Q38" s="537">
        <f>F27</f>
        <v>13.200000000000001</v>
      </c>
      <c r="R38" s="545" t="s">
        <v>26</v>
      </c>
      <c r="S38" s="242"/>
      <c r="T38" s="242"/>
      <c r="U38" s="242"/>
    </row>
    <row r="39" spans="1:21" ht="12.95" customHeight="1" thickBot="1">
      <c r="A39" s="536"/>
      <c r="B39" s="242"/>
      <c r="C39" s="243"/>
      <c r="D39" s="242"/>
      <c r="E39" s="243"/>
      <c r="F39" s="242"/>
      <c r="G39" s="242"/>
      <c r="H39" s="242"/>
      <c r="I39" s="242"/>
      <c r="J39" s="242"/>
      <c r="K39" s="242"/>
      <c r="L39" s="299"/>
      <c r="M39" s="242"/>
      <c r="N39" s="242"/>
      <c r="O39" s="242"/>
      <c r="P39" s="545"/>
      <c r="Q39" s="545"/>
      <c r="R39" s="242"/>
      <c r="S39" s="242"/>
      <c r="T39" s="242"/>
      <c r="U39" s="242"/>
    </row>
    <row r="40" spans="1:21" ht="16.5" thickBot="1">
      <c r="A40" s="536"/>
      <c r="B40" s="547">
        <f>G36</f>
        <v>3.57</v>
      </c>
      <c r="C40" s="243" t="s">
        <v>77</v>
      </c>
      <c r="D40" s="547">
        <f>D31</f>
        <v>2</v>
      </c>
      <c r="E40" s="243" t="s">
        <v>737</v>
      </c>
      <c r="F40" s="553">
        <f>B40*D40</f>
        <v>7.14</v>
      </c>
      <c r="G40" s="242" t="s">
        <v>26</v>
      </c>
      <c r="H40" s="242"/>
      <c r="I40" s="242"/>
      <c r="J40" s="242"/>
      <c r="K40" s="242"/>
      <c r="L40" s="299"/>
      <c r="M40" s="242"/>
      <c r="N40" s="242"/>
      <c r="O40" s="242"/>
      <c r="P40" s="242"/>
      <c r="Q40" s="242"/>
      <c r="R40" s="242"/>
      <c r="S40" s="242"/>
      <c r="T40" s="242"/>
      <c r="U40" s="242"/>
    </row>
    <row r="41" spans="1:21" ht="12.95" customHeight="1">
      <c r="A41" s="536"/>
      <c r="B41" s="245"/>
      <c r="C41" s="243"/>
      <c r="D41" s="245"/>
      <c r="E41" s="243"/>
      <c r="F41" s="245"/>
      <c r="G41" s="242"/>
      <c r="H41" s="242"/>
      <c r="I41" s="242"/>
      <c r="J41" s="242"/>
      <c r="K41" s="242"/>
      <c r="L41" s="299"/>
      <c r="M41" s="242"/>
      <c r="N41" s="242"/>
      <c r="O41" s="242"/>
      <c r="P41" s="242"/>
      <c r="Q41" s="242"/>
      <c r="R41" s="242"/>
      <c r="S41" s="242"/>
      <c r="T41" s="242"/>
      <c r="U41" s="242"/>
    </row>
    <row r="42" spans="1:21" ht="12.95" customHeight="1">
      <c r="A42" s="536"/>
      <c r="B42" s="242" t="s">
        <v>738</v>
      </c>
      <c r="C42" s="243"/>
      <c r="D42" s="242"/>
      <c r="E42" s="242"/>
      <c r="F42" s="242"/>
      <c r="G42" s="316"/>
      <c r="H42" s="316"/>
      <c r="I42" s="242"/>
      <c r="J42" s="242"/>
      <c r="K42" s="242"/>
      <c r="L42" s="299"/>
      <c r="M42" s="242"/>
      <c r="N42" s="242"/>
      <c r="O42" s="242"/>
      <c r="P42" s="242"/>
      <c r="Q42" s="242"/>
      <c r="R42" s="242"/>
      <c r="S42" s="242"/>
      <c r="T42" s="242"/>
      <c r="U42" s="242"/>
    </row>
    <row r="43" spans="1:21" ht="12.95" customHeight="1" thickBot="1">
      <c r="A43" s="536"/>
      <c r="B43" s="242"/>
      <c r="C43" s="243"/>
      <c r="D43" s="242"/>
      <c r="E43" s="242"/>
      <c r="F43" s="242"/>
      <c r="G43" s="316"/>
      <c r="H43" s="316"/>
      <c r="I43" s="242"/>
      <c r="J43" s="242"/>
      <c r="K43" s="242"/>
      <c r="L43" s="299"/>
      <c r="M43" s="242"/>
      <c r="N43" s="242"/>
      <c r="O43" s="242"/>
      <c r="P43" s="242"/>
      <c r="Q43" s="242"/>
      <c r="R43" s="242"/>
      <c r="S43" s="242"/>
      <c r="T43" s="242"/>
      <c r="U43" s="242"/>
    </row>
    <row r="44" spans="1:21" ht="16.5" thickBot="1">
      <c r="A44" s="536"/>
      <c r="B44" s="547">
        <v>0.5</v>
      </c>
      <c r="C44" s="243" t="s">
        <v>85</v>
      </c>
      <c r="D44" s="557">
        <f>F27</f>
        <v>13.200000000000001</v>
      </c>
      <c r="E44" s="299" t="s">
        <v>739</v>
      </c>
      <c r="F44" s="552">
        <f>0.5*F27+5</f>
        <v>11.600000000000001</v>
      </c>
      <c r="G44" s="525" t="s">
        <v>26</v>
      </c>
      <c r="H44" s="525"/>
      <c r="I44" s="242"/>
      <c r="J44" s="242"/>
      <c r="K44" s="242"/>
      <c r="L44" s="299"/>
      <c r="M44" s="242"/>
      <c r="N44" s="242"/>
      <c r="O44" s="242"/>
      <c r="P44" s="242"/>
      <c r="Q44" s="242"/>
      <c r="R44" s="242"/>
      <c r="S44" s="242"/>
      <c r="T44" s="242"/>
      <c r="U44" s="242"/>
    </row>
    <row r="45" spans="1:21" ht="16.5" customHeight="1">
      <c r="A45" s="536"/>
      <c r="B45" s="245"/>
      <c r="C45" s="243"/>
      <c r="D45" s="316"/>
      <c r="E45" s="299"/>
      <c r="F45" s="316"/>
      <c r="G45" s="525"/>
      <c r="H45" s="525"/>
      <c r="I45" s="242"/>
      <c r="J45" s="242"/>
      <c r="K45" s="242"/>
      <c r="L45" s="299"/>
      <c r="M45" s="242"/>
      <c r="N45" s="242"/>
      <c r="O45" s="242"/>
      <c r="P45" s="242"/>
      <c r="Q45" s="242" t="s">
        <v>778</v>
      </c>
      <c r="R45" s="242"/>
      <c r="S45" s="242"/>
      <c r="T45" s="242"/>
      <c r="U45" s="242"/>
    </row>
    <row r="46" spans="1:21" ht="15">
      <c r="A46" s="536"/>
      <c r="B46" s="528" t="s">
        <v>740</v>
      </c>
      <c r="C46" s="243"/>
      <c r="D46" s="316"/>
      <c r="G46" s="525"/>
      <c r="H46" s="525"/>
      <c r="I46" s="242"/>
      <c r="J46" s="242"/>
      <c r="K46" s="242"/>
      <c r="L46" s="299"/>
      <c r="M46" s="242"/>
      <c r="N46" s="242"/>
      <c r="O46" s="242"/>
      <c r="P46" s="242"/>
      <c r="Q46" s="537">
        <f>F27</f>
        <v>13.200000000000001</v>
      </c>
      <c r="R46" s="242" t="s">
        <v>26</v>
      </c>
      <c r="S46" s="242"/>
      <c r="T46" s="242"/>
      <c r="U46" s="242"/>
    </row>
    <row r="47" spans="1:21" ht="15.75" thickBot="1">
      <c r="A47" s="536"/>
      <c r="B47" s="528"/>
      <c r="C47" s="243"/>
      <c r="D47" s="316"/>
      <c r="E47" s="538"/>
      <c r="F47" s="538"/>
      <c r="G47" s="525"/>
      <c r="H47" s="525"/>
      <c r="I47" s="242"/>
      <c r="J47" s="242"/>
      <c r="K47" s="242"/>
      <c r="L47" s="299"/>
      <c r="M47" s="242"/>
      <c r="N47" s="242"/>
      <c r="O47" s="545"/>
      <c r="P47" s="545"/>
      <c r="Q47" s="545"/>
      <c r="R47" s="545"/>
      <c r="S47" s="242"/>
      <c r="T47" s="242"/>
      <c r="U47" s="242"/>
    </row>
    <row r="48" spans="1:21" ht="16.5" thickBot="1">
      <c r="A48" s="536"/>
      <c r="B48" s="528"/>
      <c r="C48" s="552">
        <f>IF(D20&lt;1, F44, F40)</f>
        <v>7.14</v>
      </c>
      <c r="D48" s="538" t="s">
        <v>26</v>
      </c>
      <c r="E48" s="538"/>
      <c r="F48" s="538"/>
      <c r="G48" s="525"/>
      <c r="H48" s="525"/>
      <c r="I48" s="242"/>
      <c r="J48" s="242"/>
      <c r="K48" s="242"/>
      <c r="L48" s="299"/>
      <c r="M48" s="242"/>
      <c r="N48" s="242"/>
      <c r="O48" s="545"/>
      <c r="P48" s="545"/>
      <c r="Q48" s="242"/>
      <c r="R48" s="242"/>
      <c r="S48" s="242"/>
      <c r="T48" s="242"/>
      <c r="U48" s="242"/>
    </row>
    <row r="49" spans="1:21" ht="9.75" customHeight="1" thickBot="1">
      <c r="A49" s="554"/>
      <c r="B49" s="558"/>
      <c r="C49" s="556"/>
      <c r="D49" s="559"/>
      <c r="E49" s="560"/>
      <c r="F49" s="560"/>
      <c r="G49" s="558"/>
      <c r="H49" s="558"/>
      <c r="I49" s="555"/>
      <c r="J49" s="555"/>
      <c r="K49" s="242"/>
      <c r="L49" s="299"/>
      <c r="N49" s="242" t="s">
        <v>779</v>
      </c>
      <c r="O49" s="545"/>
      <c r="P49" s="545"/>
      <c r="Q49" s="545"/>
      <c r="R49" s="243" t="s">
        <v>780</v>
      </c>
      <c r="S49" s="545"/>
      <c r="T49" s="242"/>
      <c r="U49" s="242"/>
    </row>
    <row r="50" spans="1:21" ht="12.95" customHeight="1" thickTop="1">
      <c r="A50" s="536"/>
      <c r="B50" s="528"/>
      <c r="C50" s="243"/>
      <c r="D50" s="316"/>
      <c r="E50" s="316"/>
      <c r="F50" s="538"/>
      <c r="G50" s="525"/>
      <c r="H50" s="525"/>
      <c r="I50" s="242"/>
      <c r="J50" s="242"/>
      <c r="K50" s="242"/>
      <c r="L50" s="299"/>
      <c r="N50" s="537">
        <f>C48</f>
        <v>7.14</v>
      </c>
      <c r="O50" s="545" t="s">
        <v>26</v>
      </c>
      <c r="Q50" s="545"/>
      <c r="R50" s="537">
        <f>C73</f>
        <v>18.200000000000003</v>
      </c>
      <c r="S50" s="545" t="s">
        <v>26</v>
      </c>
      <c r="T50" s="242"/>
      <c r="U50" s="242"/>
    </row>
    <row r="51" spans="1:21" ht="12.95" customHeight="1">
      <c r="A51" s="561">
        <v>3</v>
      </c>
      <c r="B51" s="298" t="s">
        <v>741</v>
      </c>
      <c r="C51" s="243"/>
      <c r="D51" s="242"/>
      <c r="E51" s="242"/>
      <c r="F51" s="242"/>
      <c r="G51" s="242"/>
      <c r="H51" s="242"/>
      <c r="I51" s="242"/>
      <c r="J51" s="242"/>
      <c r="K51" s="242"/>
      <c r="L51" s="299"/>
      <c r="M51" s="242"/>
      <c r="S51" s="242"/>
      <c r="T51" s="242"/>
      <c r="U51" s="242"/>
    </row>
    <row r="52" spans="1:21" ht="12.95" customHeight="1" thickBot="1">
      <c r="A52" s="536"/>
      <c r="B52" s="242"/>
      <c r="C52" s="243"/>
      <c r="D52" s="242"/>
      <c r="E52" s="242"/>
      <c r="F52" s="242"/>
      <c r="G52" s="242"/>
      <c r="H52" s="242"/>
      <c r="I52" s="242"/>
      <c r="J52" s="242"/>
      <c r="K52" s="242"/>
      <c r="L52" s="299"/>
      <c r="M52" s="242"/>
      <c r="N52" s="242"/>
      <c r="O52" s="545"/>
      <c r="P52" s="545"/>
      <c r="Q52" s="545"/>
      <c r="R52" s="545"/>
      <c r="S52" s="242"/>
      <c r="T52" s="242"/>
      <c r="U52" s="242"/>
    </row>
    <row r="53" spans="1:21" ht="16.5" thickBot="1">
      <c r="A53" s="539"/>
      <c r="B53" s="242" t="s">
        <v>806</v>
      </c>
      <c r="C53" s="243"/>
      <c r="D53" s="242"/>
      <c r="E53" s="243"/>
      <c r="F53" s="242"/>
      <c r="G53" s="596">
        <f>IF(D20=0,4,IF(D20=1,4.17,IF(D20=2,4.35,IF(D20=3,4.54,IF(D20=4,4.76,IF(D20=5,5,IF(D20=6,5.26,IF(D20=7,5.56,IF(D20=8,5.85,IF(D20=9,6.25,IF(D20=10,6.67,IF(D20=11,7.14,IF(D20=12,7.69,"")))))))))))))</f>
        <v>4.54</v>
      </c>
      <c r="H53" s="242"/>
      <c r="I53" s="245"/>
      <c r="J53" s="242"/>
      <c r="K53" s="242"/>
      <c r="M53" s="531"/>
      <c r="O53" s="533"/>
    </row>
    <row r="54" spans="1:21" ht="12.95" customHeight="1">
      <c r="A54" s="539"/>
      <c r="B54" s="242"/>
      <c r="C54" s="243"/>
      <c r="D54" s="242"/>
      <c r="E54" s="243"/>
      <c r="F54" s="242"/>
      <c r="G54" s="245"/>
      <c r="H54" s="242"/>
      <c r="I54" s="245"/>
      <c r="J54" s="242"/>
      <c r="K54" s="242"/>
      <c r="M54" s="531"/>
      <c r="O54" s="533"/>
    </row>
    <row r="55" spans="1:21" ht="12.95" customHeight="1">
      <c r="A55" s="539"/>
      <c r="B55" s="242" t="s">
        <v>742</v>
      </c>
      <c r="C55" s="243"/>
      <c r="D55" s="242"/>
      <c r="E55" s="243"/>
      <c r="F55" s="242"/>
      <c r="G55" s="242"/>
      <c r="H55" s="242"/>
      <c r="I55" s="242"/>
      <c r="J55" s="242"/>
      <c r="K55" s="242"/>
      <c r="M55" s="531"/>
      <c r="O55" s="533"/>
    </row>
    <row r="56" spans="1:21" ht="12.95" customHeight="1" thickBot="1">
      <c r="A56" s="539"/>
      <c r="B56" s="242"/>
      <c r="C56" s="243"/>
      <c r="D56" s="242"/>
      <c r="E56" s="243"/>
      <c r="F56" s="242"/>
      <c r="G56" s="242"/>
      <c r="H56" s="242"/>
      <c r="I56" s="242"/>
      <c r="J56" s="242"/>
      <c r="K56" s="242"/>
      <c r="M56" s="531"/>
      <c r="O56" s="533"/>
    </row>
    <row r="57" spans="1:21" ht="16.5" thickBot="1">
      <c r="A57" s="539"/>
      <c r="B57" s="547">
        <f>G53</f>
        <v>4.54</v>
      </c>
      <c r="C57" s="243" t="s">
        <v>77</v>
      </c>
      <c r="D57" s="547">
        <f>D40</f>
        <v>2</v>
      </c>
      <c r="E57" s="243" t="s">
        <v>737</v>
      </c>
      <c r="F57" s="552">
        <f>B57*D57</f>
        <v>9.08</v>
      </c>
      <c r="G57" s="242" t="s">
        <v>26</v>
      </c>
      <c r="H57" s="242"/>
      <c r="I57" s="242"/>
      <c r="J57" s="242"/>
      <c r="K57" s="242"/>
      <c r="M57" s="531"/>
      <c r="O57" s="533"/>
    </row>
    <row r="58" spans="1:21" ht="18" customHeight="1">
      <c r="A58" s="539"/>
      <c r="B58" s="245"/>
      <c r="C58" s="243"/>
      <c r="D58" s="245"/>
      <c r="E58" s="243"/>
      <c r="F58" s="316"/>
      <c r="G58" s="242"/>
      <c r="H58" s="242"/>
      <c r="I58" s="242"/>
      <c r="J58" s="242"/>
      <c r="K58" s="242"/>
      <c r="M58" s="531"/>
      <c r="O58" s="533"/>
    </row>
    <row r="59" spans="1:21" ht="15">
      <c r="A59" s="539"/>
      <c r="B59" s="242" t="s">
        <v>743</v>
      </c>
      <c r="C59" s="243"/>
      <c r="D59" s="242"/>
      <c r="I59" s="242"/>
      <c r="J59" s="242"/>
      <c r="K59" s="242"/>
      <c r="M59" s="531"/>
      <c r="O59" s="533"/>
    </row>
    <row r="60" spans="1:21" ht="15.75" thickBot="1">
      <c r="A60" s="539"/>
      <c r="B60" s="242"/>
      <c r="C60" s="243"/>
      <c r="D60" s="242"/>
      <c r="E60" s="242"/>
      <c r="F60" s="242"/>
      <c r="G60" s="242"/>
      <c r="H60" s="242"/>
      <c r="I60" s="242"/>
      <c r="J60" s="242"/>
      <c r="K60" s="242"/>
      <c r="M60" s="531"/>
      <c r="O60" s="533"/>
    </row>
    <row r="61" spans="1:21" ht="16.5" thickBot="1">
      <c r="A61" s="539"/>
      <c r="B61" s="242"/>
      <c r="C61" s="557">
        <f>F27</f>
        <v>13.200000000000001</v>
      </c>
      <c r="D61" s="299" t="s">
        <v>744</v>
      </c>
      <c r="E61" s="552">
        <f>C61+5</f>
        <v>18.200000000000003</v>
      </c>
      <c r="F61" s="242" t="s">
        <v>26</v>
      </c>
      <c r="G61" s="242"/>
      <c r="H61" s="242"/>
      <c r="I61" s="242"/>
      <c r="J61" s="242"/>
      <c r="K61" s="242"/>
      <c r="M61" s="531"/>
      <c r="O61" s="533"/>
    </row>
    <row r="62" spans="1:21" ht="12.75" customHeight="1">
      <c r="A62" s="539"/>
      <c r="B62" s="242"/>
      <c r="C62" s="243"/>
      <c r="D62" s="242"/>
      <c r="E62" s="316"/>
      <c r="F62" s="299"/>
      <c r="G62" s="242"/>
      <c r="H62" s="242"/>
      <c r="I62" s="242"/>
      <c r="J62" s="242"/>
      <c r="K62" s="242"/>
      <c r="M62" s="531"/>
      <c r="O62" s="533"/>
    </row>
    <row r="63" spans="1:21" ht="12.95" customHeight="1">
      <c r="A63" s="539"/>
      <c r="B63" s="242" t="s">
        <v>745</v>
      </c>
      <c r="C63" s="243"/>
      <c r="D63" s="242"/>
      <c r="E63" s="242"/>
      <c r="F63" s="242"/>
      <c r="I63" s="243"/>
      <c r="J63" s="242"/>
      <c r="K63" s="242"/>
      <c r="M63" s="531"/>
      <c r="O63" s="533"/>
    </row>
    <row r="64" spans="1:21" ht="12.95" customHeight="1" thickBot="1">
      <c r="A64" s="539"/>
      <c r="B64" s="242"/>
      <c r="C64" s="243"/>
      <c r="D64" s="242"/>
      <c r="E64" s="242"/>
      <c r="F64" s="242"/>
      <c r="G64" s="316"/>
      <c r="H64" s="525"/>
      <c r="I64" s="243"/>
      <c r="J64" s="242"/>
      <c r="K64" s="242"/>
      <c r="M64" s="531"/>
      <c r="O64" s="533"/>
    </row>
    <row r="65" spans="1:15" ht="16.5" thickBot="1">
      <c r="A65" s="539"/>
      <c r="B65" s="242"/>
      <c r="C65" s="552">
        <f>IF(F57&gt;E61,F57,E61)</f>
        <v>18.200000000000003</v>
      </c>
      <c r="D65" s="525" t="s">
        <v>746</v>
      </c>
      <c r="E65" s="242"/>
      <c r="F65" s="242"/>
      <c r="G65" s="316"/>
      <c r="H65" s="525"/>
      <c r="I65" s="243"/>
      <c r="J65" s="242"/>
      <c r="K65" s="242"/>
      <c r="M65" s="531"/>
      <c r="O65" s="533"/>
    </row>
    <row r="66" spans="1:15" ht="12.95" customHeight="1">
      <c r="A66" s="539"/>
      <c r="B66" s="242"/>
      <c r="C66" s="243"/>
      <c r="D66" s="242"/>
      <c r="E66" s="242"/>
      <c r="F66" s="242"/>
      <c r="G66" s="316"/>
      <c r="H66" s="525"/>
      <c r="I66" s="243"/>
      <c r="J66" s="242"/>
      <c r="K66" s="242"/>
      <c r="M66" s="531"/>
      <c r="O66" s="533"/>
    </row>
    <row r="67" spans="1:15" ht="12.95" customHeight="1">
      <c r="A67" s="539"/>
      <c r="B67" s="242" t="s">
        <v>747</v>
      </c>
      <c r="C67" s="243"/>
      <c r="D67" s="242"/>
      <c r="E67" s="242"/>
      <c r="F67" s="242"/>
      <c r="G67" s="316"/>
      <c r="H67" s="243"/>
      <c r="I67" s="243"/>
      <c r="J67" s="242"/>
      <c r="K67" s="242"/>
      <c r="M67" s="531"/>
      <c r="O67" s="4"/>
    </row>
    <row r="68" spans="1:15" ht="7.5" customHeight="1" thickBot="1">
      <c r="A68" s="539"/>
      <c r="B68" s="242"/>
      <c r="C68" s="243"/>
      <c r="D68" s="242"/>
      <c r="E68" s="242"/>
      <c r="F68" s="242"/>
      <c r="G68" s="316"/>
      <c r="H68" s="243"/>
      <c r="I68" s="243"/>
      <c r="J68" s="242"/>
      <c r="K68" s="242"/>
      <c r="M68" s="531"/>
      <c r="O68" s="4"/>
    </row>
    <row r="69" spans="1:15" ht="16.5" thickBot="1">
      <c r="A69" s="539"/>
      <c r="B69" s="547">
        <v>0.5</v>
      </c>
      <c r="C69" s="243" t="s">
        <v>85</v>
      </c>
      <c r="D69" s="557">
        <f>F27</f>
        <v>13.200000000000001</v>
      </c>
      <c r="E69" s="299" t="s">
        <v>739</v>
      </c>
      <c r="F69" s="552">
        <f>0.5*F27+5</f>
        <v>11.600000000000001</v>
      </c>
      <c r="G69" s="525" t="s">
        <v>26</v>
      </c>
      <c r="H69" s="242"/>
      <c r="I69" s="242"/>
      <c r="J69" s="242"/>
      <c r="K69" s="242"/>
      <c r="M69" s="531"/>
      <c r="O69" s="532"/>
    </row>
    <row r="70" spans="1:15" ht="12.95" customHeight="1">
      <c r="A70" s="539"/>
      <c r="B70" s="245"/>
      <c r="C70" s="243"/>
      <c r="D70" s="316"/>
      <c r="E70" s="299"/>
      <c r="F70" s="316"/>
      <c r="G70" s="525"/>
      <c r="H70" s="242"/>
      <c r="I70" s="242"/>
      <c r="J70" s="242"/>
      <c r="K70" s="242"/>
      <c r="M70" s="531"/>
      <c r="O70" s="532"/>
    </row>
    <row r="71" spans="1:15" ht="12.95" customHeight="1">
      <c r="A71" s="539"/>
      <c r="B71" s="528" t="s">
        <v>748</v>
      </c>
      <c r="C71" s="243"/>
      <c r="D71" s="316"/>
      <c r="G71" s="525"/>
      <c r="H71" s="242"/>
      <c r="I71" s="242"/>
      <c r="J71" s="242"/>
      <c r="K71" s="242"/>
      <c r="M71" s="531"/>
      <c r="O71" s="532"/>
    </row>
    <row r="72" spans="1:15" ht="12.95" customHeight="1" thickBot="1">
      <c r="A72" s="539"/>
      <c r="B72" s="528"/>
      <c r="C72" s="243"/>
      <c r="D72" s="316"/>
      <c r="E72" s="316"/>
      <c r="F72" s="538"/>
      <c r="G72" s="525"/>
      <c r="H72" s="242"/>
      <c r="I72" s="242"/>
      <c r="J72" s="242"/>
      <c r="K72" s="242"/>
      <c r="M72" s="531"/>
      <c r="O72" s="532"/>
    </row>
    <row r="73" spans="1:15" ht="16.5" thickBot="1">
      <c r="A73" s="539"/>
      <c r="B73" s="528"/>
      <c r="C73" s="552">
        <f>IF(D20&lt;1, F69,C65)</f>
        <v>18.200000000000003</v>
      </c>
      <c r="D73" s="538" t="s">
        <v>26</v>
      </c>
      <c r="E73" s="316"/>
      <c r="F73" s="538"/>
      <c r="G73" s="525"/>
      <c r="H73" s="242"/>
      <c r="I73" s="242"/>
      <c r="J73" s="242"/>
      <c r="K73" s="242"/>
      <c r="M73" s="531"/>
      <c r="O73" s="532"/>
    </row>
    <row r="74" spans="1:15" ht="12.95" customHeight="1">
      <c r="A74" s="539"/>
      <c r="B74" s="528"/>
      <c r="C74" s="243"/>
      <c r="D74" s="316"/>
      <c r="E74" s="316"/>
      <c r="F74" s="538"/>
      <c r="G74" s="525"/>
      <c r="H74" s="242"/>
      <c r="I74" s="242"/>
      <c r="J74" s="242"/>
      <c r="K74" s="242"/>
      <c r="M74" s="531"/>
      <c r="O74" s="532"/>
    </row>
    <row r="75" spans="1:15" ht="12.95" customHeight="1">
      <c r="A75" s="536">
        <v>4</v>
      </c>
      <c r="B75" s="242" t="s">
        <v>749</v>
      </c>
      <c r="C75" s="243"/>
      <c r="D75" s="242"/>
      <c r="E75" s="243"/>
      <c r="F75" s="242"/>
      <c r="G75" s="242"/>
      <c r="H75" s="242"/>
      <c r="I75" s="242"/>
      <c r="J75" s="242"/>
      <c r="K75" s="242"/>
      <c r="M75" s="531"/>
      <c r="O75" s="532"/>
    </row>
    <row r="76" spans="1:15" ht="12.95" customHeight="1" thickBot="1">
      <c r="A76" s="536"/>
      <c r="B76" s="242"/>
      <c r="C76" s="243"/>
      <c r="D76" s="242"/>
      <c r="E76" s="243"/>
      <c r="F76" s="242"/>
      <c r="G76" s="242"/>
      <c r="H76" s="242"/>
      <c r="I76" s="242"/>
      <c r="J76" s="242"/>
      <c r="K76" s="242"/>
      <c r="M76" s="531"/>
      <c r="O76" s="532"/>
    </row>
    <row r="77" spans="1:15" ht="16.5" thickBot="1">
      <c r="A77" s="536"/>
      <c r="B77" s="562">
        <f>C48</f>
        <v>7.14</v>
      </c>
      <c r="C77" s="243" t="s">
        <v>750</v>
      </c>
      <c r="D77" s="557">
        <f>C73</f>
        <v>18.200000000000003</v>
      </c>
      <c r="E77" s="243" t="s">
        <v>737</v>
      </c>
      <c r="F77" s="552">
        <f>B77+D77</f>
        <v>25.340000000000003</v>
      </c>
      <c r="G77" s="242" t="s">
        <v>26</v>
      </c>
      <c r="H77" s="242"/>
      <c r="I77" s="242"/>
      <c r="J77" s="242"/>
      <c r="K77" s="242"/>
      <c r="O77" s="532"/>
    </row>
    <row r="78" spans="1:15" ht="12.95" customHeight="1">
      <c r="A78" s="536"/>
      <c r="B78" s="308"/>
      <c r="C78" s="243"/>
      <c r="D78" s="316"/>
      <c r="E78" s="243"/>
      <c r="F78" s="316"/>
      <c r="G78" s="242"/>
      <c r="H78" s="242"/>
      <c r="I78" s="242"/>
      <c r="J78" s="242"/>
      <c r="K78" s="242"/>
      <c r="O78" s="532"/>
    </row>
    <row r="79" spans="1:15" ht="12.95" customHeight="1">
      <c r="A79" s="536">
        <v>5</v>
      </c>
      <c r="B79" s="242" t="s">
        <v>751</v>
      </c>
      <c r="C79" s="243"/>
      <c r="D79" s="242"/>
      <c r="E79" s="243"/>
      <c r="F79" s="242"/>
      <c r="G79" s="242"/>
      <c r="H79" s="242"/>
      <c r="I79" s="242"/>
      <c r="J79" s="242"/>
      <c r="K79" s="242"/>
      <c r="O79" s="532"/>
    </row>
    <row r="80" spans="1:15" ht="12.95" customHeight="1" thickBot="1">
      <c r="A80" s="536"/>
      <c r="B80" s="242"/>
      <c r="C80" s="243"/>
      <c r="D80" s="242"/>
      <c r="E80" s="243"/>
      <c r="F80" s="242"/>
      <c r="G80" s="242"/>
      <c r="H80" s="242"/>
      <c r="I80" s="242"/>
      <c r="J80" s="242"/>
      <c r="K80" s="242"/>
      <c r="O80" s="532"/>
    </row>
    <row r="81" spans="1:15" ht="16.5" thickBot="1">
      <c r="A81" s="536"/>
      <c r="B81" s="547">
        <f>IF(C6&gt;I7,C6,I7)</f>
        <v>450</v>
      </c>
      <c r="C81" s="243" t="s">
        <v>752</v>
      </c>
      <c r="D81" s="547">
        <f>D19</f>
        <v>6</v>
      </c>
      <c r="E81" s="243" t="s">
        <v>753</v>
      </c>
      <c r="F81" s="552">
        <f>B81/D81</f>
        <v>75</v>
      </c>
      <c r="G81" s="242" t="s">
        <v>26</v>
      </c>
      <c r="H81" s="242"/>
      <c r="I81" s="242"/>
      <c r="J81" s="242"/>
      <c r="K81" s="242"/>
      <c r="O81" s="532"/>
    </row>
    <row r="82" spans="1:15" ht="12.95" customHeight="1">
      <c r="A82" s="536"/>
      <c r="B82" s="245"/>
      <c r="C82" s="243"/>
      <c r="D82" s="245"/>
      <c r="E82" s="243"/>
      <c r="F82" s="316"/>
      <c r="G82" s="242"/>
      <c r="H82" s="242"/>
      <c r="I82" s="242"/>
      <c r="J82" s="242"/>
      <c r="K82" s="242"/>
      <c r="O82" s="532"/>
    </row>
    <row r="83" spans="1:15" ht="15">
      <c r="A83" s="536">
        <v>6</v>
      </c>
      <c r="B83" s="242" t="s">
        <v>789</v>
      </c>
      <c r="C83" s="243"/>
      <c r="D83" s="242"/>
      <c r="E83" s="243"/>
      <c r="F83" s="242"/>
      <c r="G83" s="242"/>
      <c r="H83" s="242"/>
      <c r="I83" s="242"/>
      <c r="J83" s="242"/>
      <c r="K83" s="242"/>
    </row>
    <row r="84" spans="1:15" ht="11.25" customHeight="1" thickBot="1">
      <c r="A84" s="536"/>
      <c r="B84" s="242"/>
      <c r="C84" s="243"/>
      <c r="D84" s="242"/>
      <c r="E84" s="243"/>
      <c r="F84" s="242"/>
      <c r="G84" s="242"/>
      <c r="H84" s="242"/>
      <c r="I84" s="242"/>
      <c r="J84" s="242"/>
      <c r="K84" s="242"/>
    </row>
    <row r="85" spans="1:15" ht="16.5" thickBot="1">
      <c r="A85" s="299"/>
      <c r="B85" s="557">
        <f>F40</f>
        <v>7.14</v>
      </c>
      <c r="C85" s="243" t="s">
        <v>754</v>
      </c>
      <c r="D85" s="557">
        <f>F81</f>
        <v>75</v>
      </c>
      <c r="E85" s="243" t="s">
        <v>754</v>
      </c>
      <c r="F85" s="557">
        <f>B85</f>
        <v>7.14</v>
      </c>
      <c r="G85" s="242" t="s">
        <v>737</v>
      </c>
      <c r="H85" s="552">
        <f>B85+D85+F85</f>
        <v>89.28</v>
      </c>
      <c r="I85" s="316" t="s">
        <v>26</v>
      </c>
      <c r="J85" s="242"/>
      <c r="K85" s="242"/>
      <c r="O85" s="532"/>
    </row>
    <row r="86" spans="1:15" ht="12.95" customHeight="1">
      <c r="A86" s="299"/>
      <c r="B86" s="242"/>
      <c r="C86" s="243"/>
      <c r="D86" s="242"/>
      <c r="E86" s="243"/>
      <c r="F86" s="242"/>
      <c r="G86" s="242"/>
      <c r="H86" s="242"/>
      <c r="I86" s="242"/>
      <c r="J86" s="242"/>
      <c r="K86" s="242"/>
      <c r="O86" s="534"/>
    </row>
    <row r="87" spans="1:15" ht="15.75">
      <c r="A87" s="349" t="s">
        <v>114</v>
      </c>
      <c r="B87" s="806" t="s">
        <v>755</v>
      </c>
      <c r="C87" s="806"/>
      <c r="D87" s="806"/>
      <c r="E87" s="352"/>
      <c r="F87" s="353"/>
      <c r="G87" s="353"/>
      <c r="H87" s="353"/>
      <c r="I87" s="353"/>
      <c r="J87" s="355"/>
      <c r="K87" s="242"/>
      <c r="O87" s="534"/>
    </row>
    <row r="88" spans="1:15" ht="12.95" customHeight="1">
      <c r="A88" s="297"/>
      <c r="B88" s="298"/>
      <c r="C88" s="243"/>
      <c r="D88" s="242"/>
      <c r="E88" s="243"/>
      <c r="F88" s="242"/>
      <c r="G88" s="242"/>
      <c r="H88" s="242"/>
      <c r="I88" s="242"/>
      <c r="J88" s="242"/>
      <c r="K88" s="242"/>
      <c r="O88" s="534"/>
    </row>
    <row r="89" spans="1:15" ht="13.5" customHeight="1">
      <c r="A89" s="536">
        <v>1</v>
      </c>
      <c r="B89" s="242" t="s">
        <v>756</v>
      </c>
      <c r="C89" s="243"/>
      <c r="D89" s="242"/>
      <c r="E89" s="243"/>
      <c r="F89" s="242"/>
      <c r="G89" s="242"/>
      <c r="H89" s="242"/>
      <c r="I89" s="242"/>
      <c r="J89" s="242"/>
      <c r="K89" s="242"/>
      <c r="O89" s="533"/>
    </row>
    <row r="90" spans="1:15" ht="13.5" customHeight="1" thickBot="1">
      <c r="A90" s="536"/>
      <c r="B90" s="242"/>
      <c r="C90" s="243"/>
      <c r="D90" s="242"/>
      <c r="E90" s="243"/>
      <c r="F90" s="242"/>
      <c r="G90" s="242"/>
      <c r="H90" s="242"/>
      <c r="I90" s="242"/>
      <c r="J90" s="242"/>
      <c r="K90" s="242"/>
      <c r="O90" s="533"/>
    </row>
    <row r="91" spans="1:15" ht="19.5" thickBot="1">
      <c r="A91" s="536"/>
      <c r="B91" s="557">
        <f>F81</f>
        <v>75</v>
      </c>
      <c r="C91" s="243" t="s">
        <v>757</v>
      </c>
      <c r="D91" s="557">
        <f>F27</f>
        <v>13.200000000000001</v>
      </c>
      <c r="E91" s="243" t="s">
        <v>758</v>
      </c>
      <c r="F91" s="563">
        <f>B91*(D91+1)</f>
        <v>1065</v>
      </c>
      <c r="G91" s="242" t="s">
        <v>595</v>
      </c>
      <c r="H91" s="242"/>
      <c r="I91" s="242"/>
      <c r="J91" s="242"/>
      <c r="K91" s="242"/>
      <c r="O91" s="533"/>
    </row>
    <row r="92" spans="1:15" ht="12.95" customHeight="1">
      <c r="A92" s="536"/>
      <c r="B92" s="316"/>
      <c r="C92" s="243"/>
      <c r="D92" s="316"/>
      <c r="E92" s="243"/>
      <c r="F92" s="366"/>
      <c r="G92" s="242"/>
      <c r="H92" s="242"/>
      <c r="I92" s="242"/>
      <c r="J92" s="242"/>
      <c r="K92" s="242"/>
      <c r="O92" s="533"/>
    </row>
    <row r="93" spans="1:15" ht="12.95" customHeight="1">
      <c r="A93" s="536">
        <v>2</v>
      </c>
      <c r="B93" s="242" t="s">
        <v>759</v>
      </c>
      <c r="C93" s="243"/>
      <c r="D93" s="242"/>
      <c r="E93" s="243"/>
      <c r="F93" s="242"/>
      <c r="G93" s="242"/>
      <c r="H93" s="242"/>
      <c r="I93" s="242"/>
      <c r="J93" s="242"/>
      <c r="K93" s="242"/>
      <c r="O93" s="533"/>
    </row>
    <row r="94" spans="1:15" ht="14.25" customHeight="1">
      <c r="A94" s="536"/>
      <c r="B94" s="242" t="s">
        <v>760</v>
      </c>
      <c r="C94" s="243"/>
      <c r="D94" s="242"/>
      <c r="E94" s="243"/>
      <c r="F94" s="242"/>
      <c r="G94" s="242"/>
      <c r="H94" s="242"/>
      <c r="I94" s="242"/>
      <c r="J94" s="242"/>
      <c r="K94" s="242"/>
      <c r="O94" s="533"/>
    </row>
    <row r="95" spans="1:15" ht="14.25" customHeight="1" thickBot="1">
      <c r="A95" s="536"/>
      <c r="B95" s="242"/>
      <c r="C95" s="243"/>
      <c r="D95" s="242"/>
      <c r="E95" s="243"/>
      <c r="F95" s="242"/>
      <c r="G95" s="242"/>
      <c r="H95" s="242"/>
      <c r="I95" s="242"/>
      <c r="J95" s="242"/>
      <c r="K95" s="242"/>
      <c r="O95" s="533"/>
    </row>
    <row r="96" spans="1:15" ht="19.5" thickBot="1">
      <c r="A96" s="536"/>
      <c r="B96" s="557">
        <f>F91</f>
        <v>1065</v>
      </c>
      <c r="C96" s="242" t="s">
        <v>784</v>
      </c>
      <c r="D96" s="552">
        <f>B96/2</f>
        <v>532.5</v>
      </c>
      <c r="E96" s="242" t="s">
        <v>595</v>
      </c>
      <c r="F96" s="242"/>
      <c r="G96" s="242"/>
      <c r="H96" s="242"/>
      <c r="I96" s="242"/>
      <c r="J96" s="242"/>
      <c r="K96" s="242"/>
      <c r="O96" s="533"/>
    </row>
    <row r="97" spans="1:15" ht="12.95" customHeight="1">
      <c r="A97" s="536"/>
      <c r="B97" s="316"/>
      <c r="C97" s="242"/>
      <c r="D97" s="316"/>
      <c r="E97" s="242"/>
      <c r="F97" s="242"/>
      <c r="G97" s="242"/>
      <c r="H97" s="242"/>
      <c r="I97" s="242"/>
      <c r="J97" s="242"/>
      <c r="K97" s="242"/>
      <c r="O97" s="533"/>
    </row>
    <row r="98" spans="1:15" ht="12.95" customHeight="1">
      <c r="A98" s="536">
        <v>3</v>
      </c>
      <c r="B98" s="242" t="s">
        <v>361</v>
      </c>
      <c r="C98" s="243"/>
      <c r="D98" s="242"/>
      <c r="E98" s="243"/>
      <c r="F98" s="242"/>
      <c r="G98" s="242"/>
      <c r="H98" s="242"/>
      <c r="I98" s="242"/>
      <c r="J98" s="242"/>
      <c r="K98" s="242"/>
      <c r="O98" s="533"/>
    </row>
    <row r="99" spans="1:15" ht="12.95" customHeight="1" thickBot="1">
      <c r="A99" s="536"/>
      <c r="B99" s="242"/>
      <c r="C99" s="243"/>
      <c r="D99" s="242"/>
      <c r="E99" s="243"/>
      <c r="F99" s="242"/>
      <c r="G99" s="242"/>
      <c r="H99" s="242"/>
      <c r="I99" s="242"/>
      <c r="J99" s="242"/>
      <c r="K99" s="242"/>
      <c r="O99" s="533"/>
    </row>
    <row r="100" spans="1:15" ht="19.5" thickBot="1">
      <c r="A100" s="536"/>
      <c r="B100" s="242" t="s">
        <v>761</v>
      </c>
      <c r="C100" s="243"/>
      <c r="D100" s="557">
        <f>D96</f>
        <v>532.5</v>
      </c>
      <c r="E100" s="397" t="s">
        <v>762</v>
      </c>
      <c r="F100" s="552">
        <f>D100/27</f>
        <v>19.722222222222221</v>
      </c>
      <c r="G100" s="242" t="s">
        <v>622</v>
      </c>
      <c r="H100" s="242"/>
      <c r="I100" s="242"/>
      <c r="J100" s="242"/>
      <c r="K100" s="242"/>
      <c r="O100" s="533"/>
    </row>
    <row r="101" spans="1:15" ht="15" customHeight="1">
      <c r="A101" s="536"/>
      <c r="B101" s="242"/>
      <c r="C101" s="243"/>
      <c r="D101" s="316"/>
      <c r="E101" s="397"/>
      <c r="F101" s="316"/>
      <c r="G101" s="242"/>
      <c r="H101" s="242"/>
      <c r="I101" s="242"/>
      <c r="J101" s="242"/>
      <c r="K101" s="242"/>
      <c r="O101" s="533"/>
    </row>
    <row r="102" spans="1:15" ht="15.75" thickBot="1">
      <c r="A102" s="536">
        <v>4</v>
      </c>
      <c r="B102" s="242" t="s">
        <v>360</v>
      </c>
      <c r="C102" s="243"/>
      <c r="D102" s="242"/>
      <c r="E102" s="243"/>
      <c r="F102" s="242"/>
      <c r="G102" s="242"/>
      <c r="H102" s="242"/>
      <c r="I102" s="242"/>
      <c r="J102" s="242"/>
      <c r="K102" s="242"/>
      <c r="O102" s="533"/>
    </row>
    <row r="103" spans="1:15" ht="16.5" thickBot="1">
      <c r="A103" s="299"/>
      <c r="B103" s="242" t="s">
        <v>763</v>
      </c>
      <c r="C103" s="243"/>
      <c r="D103" s="557">
        <f>F100</f>
        <v>19.722222222222221</v>
      </c>
      <c r="E103" s="243" t="s">
        <v>764</v>
      </c>
      <c r="F103" s="552">
        <f>D103*1.4</f>
        <v>27.611111111111107</v>
      </c>
      <c r="G103" s="242" t="s">
        <v>60</v>
      </c>
      <c r="H103" s="242"/>
      <c r="I103" s="242"/>
      <c r="J103" s="242"/>
      <c r="K103" s="242"/>
      <c r="O103" s="533"/>
    </row>
    <row r="104" spans="1:15" ht="15.75" thickBot="1">
      <c r="A104" s="299"/>
      <c r="B104" s="242"/>
      <c r="C104" s="243"/>
      <c r="D104" s="316"/>
      <c r="E104" s="243"/>
      <c r="F104" s="242"/>
      <c r="G104" s="242"/>
      <c r="H104" s="242"/>
      <c r="I104" s="242"/>
      <c r="J104" s="242"/>
      <c r="K104" s="242"/>
      <c r="O104" s="533"/>
    </row>
    <row r="105" spans="1:15" ht="16.5" thickBot="1">
      <c r="A105" s="308" t="s">
        <v>765</v>
      </c>
      <c r="B105" s="244" t="s">
        <v>766</v>
      </c>
      <c r="C105" s="316"/>
      <c r="D105" s="244"/>
      <c r="E105" s="244" t="s">
        <v>767</v>
      </c>
      <c r="F105" s="557">
        <f>F103</f>
        <v>27.611111111111107</v>
      </c>
      <c r="G105" s="245" t="s">
        <v>358</v>
      </c>
      <c r="H105" s="552">
        <f>F103*1.1</f>
        <v>30.37222222222222</v>
      </c>
      <c r="I105" s="242" t="s">
        <v>60</v>
      </c>
      <c r="J105" s="242"/>
      <c r="K105" s="242"/>
      <c r="O105" s="533"/>
    </row>
    <row r="106" spans="1:15" ht="15">
      <c r="A106" s="308"/>
      <c r="B106" s="244"/>
      <c r="C106" s="316"/>
      <c r="D106" s="244"/>
      <c r="E106" s="244"/>
      <c r="F106" s="316"/>
      <c r="G106" s="245"/>
      <c r="H106" s="316"/>
      <c r="I106" s="242"/>
      <c r="J106" s="242"/>
      <c r="K106" s="242"/>
      <c r="O106" s="533"/>
    </row>
    <row r="107" spans="1:15" ht="15">
      <c r="A107" s="540"/>
      <c r="B107" s="242"/>
      <c r="C107" s="242"/>
      <c r="D107" s="242"/>
      <c r="E107" s="242"/>
      <c r="F107" s="242"/>
      <c r="G107" s="242"/>
      <c r="H107" s="242"/>
      <c r="I107" s="242"/>
      <c r="J107" s="242"/>
      <c r="K107" s="242"/>
      <c r="O107" s="533"/>
    </row>
    <row r="108" spans="1:15" ht="15">
      <c r="A108" s="540"/>
      <c r="B108" s="242"/>
      <c r="C108" s="242"/>
      <c r="D108" s="242"/>
      <c r="E108" s="242"/>
      <c r="F108" s="242"/>
      <c r="G108" s="242"/>
      <c r="H108" s="242"/>
      <c r="I108" s="242"/>
      <c r="J108" s="242"/>
      <c r="K108" s="244"/>
      <c r="O108" s="533"/>
    </row>
    <row r="109" spans="1:15" ht="11.25" customHeight="1">
      <c r="A109" s="540"/>
      <c r="B109" s="242"/>
      <c r="C109" s="242"/>
      <c r="D109" s="242"/>
      <c r="E109" s="242"/>
      <c r="F109" s="242"/>
      <c r="G109" s="242"/>
      <c r="H109" s="242"/>
      <c r="I109" s="242"/>
      <c r="J109" s="242"/>
      <c r="K109" s="242"/>
      <c r="O109" s="533"/>
    </row>
    <row r="110" spans="1:15" ht="12.95" customHeight="1">
      <c r="A110" s="540"/>
      <c r="B110" s="242"/>
      <c r="C110" s="242"/>
      <c r="D110" s="242"/>
      <c r="E110" s="242"/>
      <c r="F110" s="242"/>
      <c r="G110" s="242"/>
      <c r="H110" s="242"/>
      <c r="I110" s="242"/>
      <c r="J110" s="242"/>
      <c r="K110" s="244"/>
      <c r="O110" s="533"/>
    </row>
    <row r="111" spans="1:15" ht="12.95" customHeight="1">
      <c r="A111" s="540"/>
      <c r="B111" s="242"/>
      <c r="C111" s="242"/>
      <c r="D111" s="242"/>
      <c r="E111" s="242"/>
      <c r="F111" s="242"/>
      <c r="G111" s="242"/>
      <c r="H111" s="242"/>
      <c r="I111" s="242"/>
      <c r="J111" s="242"/>
      <c r="K111" s="242"/>
    </row>
    <row r="112" spans="1:15" ht="12.95" customHeight="1">
      <c r="A112" s="540"/>
      <c r="B112" s="242"/>
      <c r="C112" s="242"/>
      <c r="D112" s="242"/>
      <c r="E112" s="242"/>
      <c r="F112" s="242"/>
      <c r="G112" s="242"/>
      <c r="H112" s="242"/>
      <c r="I112" s="242"/>
      <c r="J112" s="242"/>
      <c r="K112" s="244"/>
    </row>
    <row r="113" spans="1:20" ht="12.95" customHeight="1">
      <c r="A113" s="540"/>
      <c r="B113" s="242"/>
      <c r="C113" s="242"/>
      <c r="D113" s="242"/>
      <c r="E113" s="242"/>
      <c r="F113" s="242"/>
      <c r="G113" s="242"/>
      <c r="H113" s="242"/>
      <c r="I113" s="242"/>
      <c r="J113" s="242"/>
      <c r="K113" s="242"/>
    </row>
    <row r="114" spans="1:20" ht="12.95" customHeight="1">
      <c r="K114" s="242"/>
      <c r="N114" s="1"/>
      <c r="O114" s="1"/>
      <c r="P114" s="1"/>
      <c r="Q114" s="1"/>
      <c r="R114" s="1"/>
      <c r="T114" s="1"/>
    </row>
    <row r="115" spans="1:20" ht="12.95" customHeight="1">
      <c r="K115" s="242"/>
      <c r="N115" s="1"/>
      <c r="O115" s="1"/>
      <c r="P115" s="1"/>
      <c r="Q115" s="1"/>
      <c r="R115" s="1"/>
      <c r="T115" s="1"/>
    </row>
    <row r="116" spans="1:20" ht="12.95" customHeight="1">
      <c r="K116" s="242"/>
      <c r="N116" s="1"/>
      <c r="O116" s="1"/>
      <c r="P116" s="1"/>
      <c r="Q116" s="1"/>
      <c r="R116" s="1"/>
      <c r="T116" s="1"/>
    </row>
    <row r="117" spans="1:20" ht="12.95" customHeight="1">
      <c r="K117" s="242"/>
      <c r="N117" s="1"/>
      <c r="O117" s="1"/>
      <c r="P117" s="1"/>
      <c r="Q117" s="1"/>
      <c r="R117" s="1"/>
      <c r="T117" s="1"/>
    </row>
    <row r="118" spans="1:20" ht="12.95" customHeight="1">
      <c r="K118" s="242"/>
      <c r="N118" s="1"/>
      <c r="O118" s="1"/>
      <c r="P118" s="1"/>
      <c r="Q118" s="1"/>
      <c r="R118" s="1"/>
      <c r="T118" s="1"/>
    </row>
    <row r="119" spans="1:20" ht="15" customHeight="1">
      <c r="K119" s="242"/>
      <c r="N119" s="1"/>
      <c r="O119" s="1"/>
      <c r="P119" s="1"/>
      <c r="Q119" s="1"/>
      <c r="R119" s="1"/>
      <c r="T119" s="1"/>
    </row>
    <row r="120" spans="1:20" ht="12.95" customHeight="1">
      <c r="K120" s="242"/>
      <c r="N120" s="1"/>
      <c r="O120" s="1"/>
      <c r="P120" s="1"/>
      <c r="Q120" s="1"/>
      <c r="R120" s="1"/>
      <c r="T120" s="1"/>
    </row>
    <row r="121" spans="1:20" ht="12.95" customHeight="1">
      <c r="K121" s="242"/>
      <c r="N121" s="1"/>
      <c r="O121" s="1"/>
      <c r="P121" s="1"/>
      <c r="Q121" s="1"/>
      <c r="R121" s="1"/>
      <c r="T121" s="1"/>
    </row>
    <row r="122" spans="1:20" ht="12.95" customHeight="1">
      <c r="K122" s="242"/>
      <c r="N122" s="1"/>
      <c r="O122" s="1"/>
      <c r="P122" s="1"/>
      <c r="Q122" s="1"/>
      <c r="R122" s="1"/>
      <c r="T122" s="1"/>
    </row>
    <row r="123" spans="1:20" ht="12.95" customHeight="1">
      <c r="K123" s="242"/>
      <c r="N123" s="1"/>
      <c r="O123" s="1"/>
      <c r="P123" s="1"/>
      <c r="Q123" s="1"/>
      <c r="R123" s="1"/>
      <c r="T123" s="1"/>
    </row>
    <row r="124" spans="1:20" ht="12.95" customHeight="1">
      <c r="K124" s="242"/>
      <c r="N124" s="1"/>
      <c r="O124" s="1"/>
      <c r="P124" s="1"/>
      <c r="Q124" s="1"/>
      <c r="R124" s="1"/>
      <c r="T124" s="1"/>
    </row>
    <row r="125" spans="1:20" ht="12.95" customHeight="1">
      <c r="K125" s="242"/>
      <c r="N125" s="1"/>
      <c r="O125" s="1"/>
      <c r="P125" s="1"/>
      <c r="Q125" s="1"/>
      <c r="R125" s="1"/>
      <c r="T125" s="1"/>
    </row>
    <row r="126" spans="1:20" ht="12.95" customHeight="1">
      <c r="K126" s="242"/>
      <c r="N126" s="1"/>
      <c r="O126" s="1"/>
      <c r="P126" s="1"/>
      <c r="Q126" s="1"/>
      <c r="R126" s="1"/>
      <c r="T126" s="1"/>
    </row>
    <row r="127" spans="1:20" ht="12.95" customHeight="1">
      <c r="K127" s="242"/>
      <c r="N127" s="1"/>
      <c r="O127" s="1"/>
      <c r="P127" s="1"/>
      <c r="Q127" s="1"/>
      <c r="R127" s="1"/>
      <c r="T127" s="1"/>
    </row>
    <row r="128" spans="1:20" ht="12.95" customHeight="1">
      <c r="K128" s="242"/>
      <c r="N128" s="1"/>
      <c r="O128" s="1"/>
      <c r="P128" s="1"/>
      <c r="Q128" s="1"/>
      <c r="R128" s="1"/>
      <c r="T128" s="1"/>
    </row>
    <row r="129" spans="11:20" ht="12.95" customHeight="1">
      <c r="K129" s="242"/>
      <c r="N129" s="1"/>
      <c r="O129" s="1"/>
      <c r="P129" s="1"/>
      <c r="Q129" s="1"/>
      <c r="R129" s="1"/>
      <c r="T129" s="1"/>
    </row>
    <row r="130" spans="11:20" ht="12.95" customHeight="1">
      <c r="K130" s="242"/>
      <c r="N130" s="1"/>
      <c r="O130" s="1"/>
      <c r="P130" s="1"/>
      <c r="Q130" s="1"/>
      <c r="R130" s="1"/>
      <c r="T130" s="1"/>
    </row>
    <row r="131" spans="11:20" ht="12.95" customHeight="1">
      <c r="K131" s="242"/>
      <c r="N131" s="1"/>
      <c r="O131" s="1"/>
      <c r="P131" s="1"/>
      <c r="Q131" s="1"/>
      <c r="R131" s="1"/>
      <c r="T131" s="1"/>
    </row>
    <row r="132" spans="11:20" ht="12.95" customHeight="1">
      <c r="K132" s="242"/>
      <c r="N132" s="1"/>
      <c r="O132" s="1"/>
      <c r="P132" s="1"/>
      <c r="Q132" s="1"/>
      <c r="R132" s="1"/>
      <c r="T132" s="1"/>
    </row>
    <row r="133" spans="11:20" ht="12.95" customHeight="1">
      <c r="K133" s="242"/>
      <c r="N133" s="1"/>
      <c r="O133" s="1"/>
      <c r="P133" s="1"/>
      <c r="Q133" s="1"/>
      <c r="R133" s="1"/>
      <c r="T133" s="1"/>
    </row>
    <row r="134" spans="11:20" ht="12.95" customHeight="1">
      <c r="K134" s="242"/>
      <c r="N134" s="1"/>
      <c r="O134" s="1"/>
      <c r="P134" s="1"/>
      <c r="Q134" s="1"/>
      <c r="R134" s="1"/>
      <c r="T134" s="1"/>
    </row>
    <row r="135" spans="11:20" ht="12.95" customHeight="1">
      <c r="K135" s="242"/>
      <c r="N135" s="1"/>
      <c r="O135" s="1"/>
      <c r="P135" s="1"/>
      <c r="Q135" s="1"/>
      <c r="R135" s="1"/>
      <c r="T135" s="1"/>
    </row>
    <row r="136" spans="11:20" ht="14.25" customHeight="1">
      <c r="K136" s="242"/>
      <c r="N136" s="1"/>
      <c r="O136" s="1"/>
      <c r="P136" s="1"/>
      <c r="Q136" s="1"/>
      <c r="R136" s="1"/>
      <c r="T136" s="1"/>
    </row>
    <row r="137" spans="11:20" ht="12.95" customHeight="1">
      <c r="K137" s="242"/>
      <c r="N137" s="1"/>
      <c r="O137" s="1"/>
      <c r="P137" s="1"/>
      <c r="Q137" s="1"/>
      <c r="R137" s="1"/>
      <c r="T137" s="1"/>
    </row>
    <row r="138" spans="11:20" ht="12.95" customHeight="1">
      <c r="K138" s="242"/>
      <c r="N138" s="1"/>
      <c r="O138" s="1"/>
      <c r="P138" s="1"/>
      <c r="Q138" s="1"/>
      <c r="R138" s="1"/>
      <c r="T138" s="1"/>
    </row>
    <row r="139" spans="11:20" ht="12.95" customHeight="1">
      <c r="K139" s="242"/>
      <c r="N139" s="1"/>
      <c r="O139" s="1"/>
      <c r="P139" s="1"/>
      <c r="Q139" s="1"/>
      <c r="R139" s="1"/>
      <c r="T139" s="1"/>
    </row>
    <row r="140" spans="11:20" ht="12.95" customHeight="1">
      <c r="K140" s="242"/>
      <c r="N140" s="1"/>
      <c r="O140" s="1"/>
      <c r="P140" s="1"/>
      <c r="Q140" s="1"/>
      <c r="R140" s="1"/>
      <c r="T140" s="1"/>
    </row>
    <row r="141" spans="11:20" ht="12" customHeight="1">
      <c r="K141" s="242"/>
      <c r="N141" s="1"/>
      <c r="O141" s="1"/>
      <c r="P141" s="1"/>
      <c r="Q141" s="1"/>
      <c r="R141" s="1"/>
      <c r="T141" s="1"/>
    </row>
    <row r="142" spans="11:20" ht="12" customHeight="1">
      <c r="K142" s="242"/>
      <c r="N142" s="1"/>
      <c r="O142" s="1"/>
      <c r="P142" s="1"/>
      <c r="Q142" s="1"/>
      <c r="R142" s="1"/>
      <c r="T142" s="1"/>
    </row>
    <row r="143" spans="11:20" ht="12" customHeight="1">
      <c r="K143" s="242"/>
      <c r="N143" s="1"/>
      <c r="O143" s="1"/>
      <c r="P143" s="1"/>
      <c r="Q143" s="1"/>
      <c r="R143" s="1"/>
      <c r="T143" s="1"/>
    </row>
    <row r="144" spans="11:20" ht="12" customHeight="1">
      <c r="K144" s="242"/>
      <c r="N144" s="1"/>
      <c r="O144" s="1"/>
      <c r="P144" s="1"/>
      <c r="Q144" s="1"/>
      <c r="R144" s="1"/>
      <c r="T144" s="1"/>
    </row>
    <row r="145" spans="11:20" ht="12" customHeight="1">
      <c r="K145" s="242"/>
      <c r="N145" s="1"/>
      <c r="O145" s="1"/>
      <c r="P145" s="1"/>
      <c r="Q145" s="1"/>
      <c r="R145" s="1"/>
      <c r="T145" s="1"/>
    </row>
    <row r="146" spans="11:20" ht="12" customHeight="1">
      <c r="K146" s="242"/>
      <c r="N146" s="1"/>
      <c r="O146" s="1"/>
      <c r="P146" s="1"/>
      <c r="Q146" s="1"/>
      <c r="R146" s="1"/>
      <c r="T146" s="1"/>
    </row>
    <row r="147" spans="11:20" ht="12" customHeight="1">
      <c r="K147" s="242"/>
      <c r="N147" s="1"/>
      <c r="O147" s="1"/>
      <c r="P147" s="1"/>
      <c r="Q147" s="1"/>
      <c r="R147" s="1"/>
      <c r="T147" s="1"/>
    </row>
    <row r="148" spans="11:20" ht="12" customHeight="1">
      <c r="K148" s="242"/>
      <c r="N148" s="1"/>
      <c r="O148" s="1"/>
      <c r="P148" s="1"/>
      <c r="Q148" s="1"/>
      <c r="R148" s="1"/>
      <c r="T148" s="1"/>
    </row>
    <row r="149" spans="11:20" ht="12" customHeight="1">
      <c r="K149" s="242"/>
      <c r="N149" s="1"/>
      <c r="O149" s="1"/>
      <c r="P149" s="1"/>
      <c r="Q149" s="1"/>
      <c r="R149" s="1"/>
      <c r="T149" s="1"/>
    </row>
    <row r="150" spans="11:20" ht="12" customHeight="1">
      <c r="K150" s="242"/>
      <c r="N150" s="1"/>
      <c r="O150" s="1"/>
      <c r="P150" s="1"/>
      <c r="Q150" s="1"/>
      <c r="R150" s="1"/>
      <c r="T150" s="1"/>
    </row>
    <row r="151" spans="11:20" ht="12" customHeight="1">
      <c r="K151" s="242"/>
      <c r="N151" s="1"/>
      <c r="O151" s="1"/>
      <c r="P151" s="1"/>
      <c r="Q151" s="1"/>
      <c r="R151" s="1"/>
      <c r="T151" s="1"/>
    </row>
    <row r="152" spans="11:20" ht="12" customHeight="1">
      <c r="K152" s="242"/>
      <c r="N152" s="1"/>
      <c r="O152" s="1"/>
      <c r="P152" s="1"/>
      <c r="Q152" s="1"/>
      <c r="R152" s="1"/>
      <c r="T152" s="1"/>
    </row>
    <row r="153" spans="11:20" ht="12" customHeight="1">
      <c r="K153" s="242"/>
      <c r="N153" s="1"/>
      <c r="O153" s="1"/>
      <c r="P153" s="1"/>
      <c r="Q153" s="1"/>
      <c r="R153" s="1"/>
      <c r="T153" s="1"/>
    </row>
    <row r="154" spans="11:20" ht="12" customHeight="1">
      <c r="K154" s="242"/>
      <c r="N154" s="1"/>
      <c r="O154" s="1"/>
      <c r="P154" s="1"/>
      <c r="Q154" s="1"/>
      <c r="R154" s="1"/>
      <c r="T154" s="1"/>
    </row>
    <row r="155" spans="11:20" ht="12" customHeight="1">
      <c r="K155" s="242"/>
      <c r="N155" s="1"/>
      <c r="O155" s="1"/>
      <c r="P155" s="1"/>
      <c r="Q155" s="1"/>
      <c r="R155" s="1"/>
      <c r="T155" s="1"/>
    </row>
    <row r="156" spans="11:20" ht="12" customHeight="1">
      <c r="K156" s="242"/>
      <c r="N156" s="1"/>
      <c r="O156" s="1"/>
      <c r="P156" s="1"/>
      <c r="Q156" s="1"/>
      <c r="R156" s="1"/>
      <c r="T156" s="1"/>
    </row>
    <row r="157" spans="11:20" ht="12" customHeight="1">
      <c r="K157" s="242"/>
      <c r="N157" s="1"/>
      <c r="O157" s="1"/>
      <c r="P157" s="1"/>
      <c r="Q157" s="1"/>
      <c r="R157" s="1"/>
      <c r="T157" s="1"/>
    </row>
    <row r="158" spans="11:20" ht="12" customHeight="1">
      <c r="K158" s="242"/>
      <c r="N158" s="1"/>
      <c r="O158" s="1"/>
      <c r="P158" s="1"/>
      <c r="Q158" s="1"/>
      <c r="R158" s="1"/>
      <c r="T158" s="1"/>
    </row>
    <row r="159" spans="11:20" ht="12" customHeight="1">
      <c r="K159" s="242"/>
      <c r="N159" s="1"/>
      <c r="O159" s="1"/>
      <c r="P159" s="1"/>
      <c r="Q159" s="1"/>
      <c r="R159" s="1"/>
      <c r="T159" s="1"/>
    </row>
    <row r="160" spans="11:20" ht="12" customHeight="1">
      <c r="K160" s="242"/>
      <c r="N160" s="1"/>
      <c r="O160" s="1"/>
      <c r="P160" s="1"/>
      <c r="Q160" s="1"/>
      <c r="R160" s="1"/>
      <c r="T160" s="1"/>
    </row>
    <row r="161" spans="1:20" ht="12" customHeight="1">
      <c r="K161" s="242"/>
      <c r="N161" s="1"/>
      <c r="O161" s="1"/>
      <c r="P161" s="1"/>
      <c r="Q161" s="1"/>
      <c r="R161" s="1"/>
      <c r="T161" s="1"/>
    </row>
    <row r="162" spans="1:20" ht="12" customHeight="1">
      <c r="K162" s="242"/>
      <c r="N162" s="1"/>
      <c r="O162" s="1"/>
      <c r="P162" s="1"/>
      <c r="Q162" s="1"/>
      <c r="R162" s="1"/>
      <c r="T162" s="1"/>
    </row>
    <row r="163" spans="1:20" ht="12" customHeight="1">
      <c r="K163" s="242"/>
      <c r="N163" s="1"/>
      <c r="O163" s="1"/>
      <c r="P163" s="1"/>
      <c r="Q163" s="1"/>
      <c r="R163" s="1"/>
      <c r="T163" s="1"/>
    </row>
    <row r="164" spans="1:20" ht="12" customHeight="1">
      <c r="K164" s="242"/>
      <c r="N164" s="1"/>
      <c r="O164" s="1"/>
      <c r="P164" s="1"/>
      <c r="Q164" s="1"/>
      <c r="R164" s="1"/>
      <c r="T164" s="1"/>
    </row>
    <row r="165" spans="1:20" ht="12" customHeight="1">
      <c r="A165" s="299"/>
      <c r="B165" s="242"/>
      <c r="C165" s="242"/>
      <c r="D165" s="545"/>
      <c r="E165" s="545"/>
      <c r="F165" s="545"/>
      <c r="G165" s="545"/>
      <c r="H165" s="242"/>
      <c r="I165" s="242"/>
      <c r="J165" s="242"/>
      <c r="K165" s="242"/>
      <c r="N165" s="1"/>
      <c r="O165" s="1"/>
      <c r="P165" s="1"/>
      <c r="Q165" s="1"/>
      <c r="R165" s="1"/>
      <c r="T165" s="1"/>
    </row>
    <row r="166" spans="1:20" ht="12" customHeight="1">
      <c r="A166" s="299"/>
      <c r="B166" s="242"/>
      <c r="C166" s="242"/>
      <c r="D166" s="242"/>
      <c r="E166" s="242"/>
      <c r="F166" s="242"/>
      <c r="G166" s="242"/>
      <c r="H166" s="242"/>
      <c r="I166" s="242"/>
      <c r="J166" s="242"/>
      <c r="K166" s="242"/>
      <c r="N166" s="1"/>
      <c r="O166" s="1"/>
      <c r="P166" s="1"/>
      <c r="Q166" s="1"/>
      <c r="R166" s="1"/>
      <c r="T166" s="1"/>
    </row>
    <row r="167" spans="1:20" ht="12" customHeight="1">
      <c r="A167" s="299"/>
      <c r="B167" s="242"/>
      <c r="C167" s="242"/>
      <c r="D167" s="242"/>
      <c r="E167" s="242"/>
      <c r="F167" s="242"/>
      <c r="G167" s="242"/>
      <c r="H167" s="242"/>
      <c r="I167" s="242"/>
      <c r="J167" s="242"/>
      <c r="K167" s="242"/>
      <c r="N167" s="1"/>
      <c r="O167" s="1"/>
      <c r="P167" s="1"/>
      <c r="Q167" s="1"/>
      <c r="R167" s="1"/>
      <c r="T167" s="1"/>
    </row>
    <row r="168" spans="1:20" ht="12" customHeight="1">
      <c r="A168" s="299"/>
      <c r="B168" s="242"/>
      <c r="C168" s="242"/>
      <c r="D168" s="242"/>
      <c r="E168" s="242"/>
      <c r="F168" s="242"/>
      <c r="G168" s="242"/>
      <c r="H168" s="242"/>
      <c r="I168" s="242"/>
      <c r="J168" s="242"/>
      <c r="K168" s="242"/>
      <c r="N168" s="1"/>
      <c r="O168" s="1"/>
      <c r="P168" s="1"/>
      <c r="Q168" s="1"/>
      <c r="R168" s="1"/>
      <c r="T168" s="1"/>
    </row>
    <row r="169" spans="1:20" ht="12" customHeight="1">
      <c r="A169" s="299"/>
      <c r="B169" s="242"/>
      <c r="C169" s="242"/>
      <c r="D169" s="242"/>
      <c r="E169" s="242"/>
      <c r="F169" s="242"/>
      <c r="G169" s="242"/>
      <c r="H169" s="242"/>
      <c r="I169" s="242"/>
      <c r="J169" s="242"/>
      <c r="K169" s="242"/>
    </row>
    <row r="170" spans="1:20" ht="12" customHeight="1">
      <c r="A170" s="299"/>
      <c r="B170" s="242"/>
      <c r="C170" s="242"/>
      <c r="D170" s="242"/>
      <c r="E170" s="242"/>
      <c r="F170" s="242"/>
      <c r="G170" s="242"/>
      <c r="H170" s="242"/>
      <c r="I170" s="242"/>
      <c r="J170" s="242"/>
      <c r="K170" s="242"/>
    </row>
    <row r="171" spans="1:20" ht="12" customHeight="1">
      <c r="A171" s="299"/>
      <c r="B171" s="242"/>
      <c r="C171" s="242"/>
      <c r="D171" s="242"/>
      <c r="E171" s="242"/>
      <c r="F171" s="242"/>
      <c r="G171" s="242"/>
      <c r="H171" s="242"/>
      <c r="I171" s="242"/>
      <c r="J171" s="242"/>
      <c r="K171" s="242"/>
    </row>
    <row r="172" spans="1:20" ht="12" customHeight="1">
      <c r="A172" s="299"/>
      <c r="B172" s="242"/>
      <c r="C172" s="242"/>
      <c r="D172" s="242"/>
      <c r="E172" s="242"/>
      <c r="F172" s="242"/>
      <c r="G172" s="242"/>
      <c r="H172" s="242"/>
      <c r="I172" s="242"/>
      <c r="J172" s="242"/>
      <c r="K172" s="242"/>
    </row>
    <row r="173" spans="1:20" ht="12" customHeight="1">
      <c r="A173" s="299"/>
      <c r="B173" s="242"/>
      <c r="C173" s="242"/>
      <c r="D173" s="242"/>
      <c r="E173" s="242"/>
      <c r="F173" s="242"/>
      <c r="G173" s="242"/>
      <c r="H173" s="242"/>
      <c r="I173" s="242"/>
      <c r="J173" s="242"/>
      <c r="K173" s="242"/>
    </row>
    <row r="174" spans="1:20" ht="12" customHeight="1">
      <c r="A174" s="299"/>
      <c r="B174" s="242"/>
      <c r="C174" s="242"/>
      <c r="D174" s="242"/>
      <c r="E174" s="242"/>
      <c r="F174" s="242"/>
      <c r="G174" s="242"/>
      <c r="H174" s="242"/>
      <c r="I174" s="242"/>
      <c r="J174" s="242"/>
      <c r="K174" s="242"/>
    </row>
    <row r="175" spans="1:20" ht="12" customHeight="1">
      <c r="A175" s="299"/>
      <c r="B175" s="242"/>
      <c r="C175" s="242"/>
      <c r="D175" s="242"/>
      <c r="E175" s="242"/>
      <c r="F175" s="242"/>
      <c r="G175" s="242"/>
      <c r="H175" s="242"/>
      <c r="I175" s="242"/>
      <c r="J175" s="242"/>
      <c r="K175" s="242"/>
    </row>
    <row r="176" spans="1:20" s="3" customFormat="1" ht="12" customHeight="1">
      <c r="A176" s="299"/>
      <c r="B176" s="242"/>
      <c r="C176" s="242"/>
      <c r="D176" s="242"/>
      <c r="E176" s="242"/>
      <c r="F176" s="242"/>
      <c r="G176" s="242"/>
      <c r="H176" s="242"/>
      <c r="I176" s="242"/>
      <c r="J176" s="242"/>
      <c r="K176" s="242"/>
      <c r="L176" s="1"/>
      <c r="M176" s="1"/>
      <c r="N176" s="530"/>
      <c r="O176" s="530"/>
      <c r="P176" s="530"/>
      <c r="Q176" s="530"/>
      <c r="R176" s="2"/>
      <c r="S176" s="1"/>
      <c r="T176" s="2"/>
    </row>
    <row r="177" spans="1:20" s="3" customFormat="1" ht="12" customHeight="1">
      <c r="A177" s="299"/>
      <c r="B177" s="242"/>
      <c r="C177" s="242"/>
      <c r="D177" s="242"/>
      <c r="E177" s="242"/>
      <c r="F177" s="242"/>
      <c r="G177" s="242"/>
      <c r="H177" s="242"/>
      <c r="I177" s="242"/>
      <c r="J177" s="242"/>
      <c r="K177" s="242"/>
      <c r="L177" s="1"/>
      <c r="M177" s="1"/>
      <c r="N177" s="530"/>
      <c r="O177" s="530"/>
      <c r="P177" s="530"/>
      <c r="Q177" s="530"/>
      <c r="R177" s="2"/>
      <c r="S177" s="1"/>
      <c r="T177" s="2"/>
    </row>
    <row r="178" spans="1:20" s="3" customFormat="1" ht="12" customHeight="1">
      <c r="A178" s="299"/>
      <c r="B178" s="242"/>
      <c r="C178" s="242"/>
      <c r="D178" s="242"/>
      <c r="E178" s="242"/>
      <c r="F178" s="242"/>
      <c r="G178" s="242"/>
      <c r="H178" s="242"/>
      <c r="I178" s="242"/>
      <c r="J178" s="242"/>
      <c r="K178" s="242"/>
      <c r="L178" s="1"/>
      <c r="M178" s="1"/>
      <c r="N178" s="530"/>
      <c r="O178" s="530"/>
      <c r="P178" s="530"/>
      <c r="Q178" s="530"/>
      <c r="R178" s="2"/>
      <c r="S178" s="1"/>
      <c r="T178" s="2"/>
    </row>
    <row r="179" spans="1:20" s="3" customFormat="1" ht="12" customHeight="1">
      <c r="A179" s="299"/>
      <c r="B179" s="242"/>
      <c r="C179" s="242"/>
      <c r="D179" s="242"/>
      <c r="E179" s="242"/>
      <c r="F179" s="242"/>
      <c r="G179" s="242"/>
      <c r="H179" s="242"/>
      <c r="I179" s="242"/>
      <c r="J179" s="242"/>
      <c r="K179" s="242"/>
      <c r="L179" s="1"/>
      <c r="M179" s="1"/>
      <c r="N179" s="530"/>
      <c r="O179" s="530"/>
      <c r="P179" s="530"/>
      <c r="Q179" s="530"/>
      <c r="R179" s="2"/>
      <c r="S179" s="1"/>
      <c r="T179" s="2"/>
    </row>
    <row r="180" spans="1:20" s="3" customFormat="1" ht="12" customHeight="1">
      <c r="A180" s="299"/>
      <c r="B180" s="242"/>
      <c r="C180" s="242"/>
      <c r="D180" s="242"/>
      <c r="E180" s="242"/>
      <c r="F180" s="242"/>
      <c r="G180" s="242"/>
      <c r="H180" s="242"/>
      <c r="I180" s="242"/>
      <c r="J180" s="242"/>
      <c r="K180" s="242"/>
      <c r="L180" s="1"/>
      <c r="M180" s="1"/>
      <c r="N180" s="530"/>
      <c r="O180" s="530"/>
      <c r="P180" s="530"/>
      <c r="Q180" s="530"/>
      <c r="R180" s="2"/>
      <c r="S180" s="1"/>
      <c r="T180" s="2"/>
    </row>
    <row r="181" spans="1:20" s="3" customFormat="1" ht="12" customHeight="1">
      <c r="A181" s="299"/>
      <c r="B181" s="242"/>
      <c r="C181" s="242"/>
      <c r="D181" s="242"/>
      <c r="E181" s="242"/>
      <c r="F181" s="242"/>
      <c r="G181" s="242"/>
      <c r="H181" s="242"/>
      <c r="I181" s="242"/>
      <c r="J181" s="242"/>
      <c r="K181" s="242"/>
      <c r="L181" s="1"/>
      <c r="M181" s="1"/>
      <c r="N181" s="530"/>
      <c r="O181" s="530"/>
      <c r="P181" s="530"/>
      <c r="Q181" s="530"/>
      <c r="R181" s="2"/>
      <c r="S181" s="1"/>
      <c r="T181" s="2"/>
    </row>
    <row r="182" spans="1:20" s="3" customFormat="1" ht="12" customHeight="1">
      <c r="A182" s="299"/>
      <c r="B182" s="242"/>
      <c r="C182" s="242"/>
      <c r="D182" s="242"/>
      <c r="E182" s="242"/>
      <c r="F182" s="242"/>
      <c r="G182" s="242"/>
      <c r="H182" s="242"/>
      <c r="I182" s="242"/>
      <c r="J182" s="242"/>
      <c r="K182" s="242"/>
      <c r="L182" s="1"/>
      <c r="M182" s="1"/>
      <c r="N182" s="530"/>
      <c r="O182" s="530"/>
      <c r="P182" s="530"/>
      <c r="Q182" s="530"/>
      <c r="R182" s="2"/>
      <c r="S182" s="1"/>
      <c r="T182" s="2"/>
    </row>
    <row r="183" spans="1:20" s="3" customFormat="1" ht="12" customHeight="1">
      <c r="A183" s="299"/>
      <c r="B183" s="242"/>
      <c r="C183" s="242"/>
      <c r="D183" s="242"/>
      <c r="E183" s="242"/>
      <c r="F183" s="242"/>
      <c r="G183" s="242"/>
      <c r="H183" s="242"/>
      <c r="I183" s="242"/>
      <c r="J183" s="242"/>
      <c r="K183" s="242"/>
      <c r="L183" s="1"/>
      <c r="M183" s="1"/>
      <c r="N183" s="530"/>
      <c r="O183" s="530"/>
      <c r="P183" s="530"/>
      <c r="Q183" s="530"/>
      <c r="R183" s="2"/>
      <c r="S183" s="1"/>
      <c r="T183" s="2"/>
    </row>
    <row r="184" spans="1:20" s="3" customFormat="1" ht="12" customHeight="1">
      <c r="A184" s="299"/>
      <c r="B184" s="242"/>
      <c r="C184" s="242"/>
      <c r="D184" s="242"/>
      <c r="E184" s="242"/>
      <c r="F184" s="242"/>
      <c r="G184" s="242"/>
      <c r="H184" s="242"/>
      <c r="I184" s="242"/>
      <c r="J184" s="242"/>
      <c r="K184" s="242"/>
      <c r="L184" s="1"/>
      <c r="M184" s="1"/>
      <c r="N184" s="530"/>
      <c r="O184" s="530"/>
      <c r="P184" s="530"/>
      <c r="Q184" s="530"/>
      <c r="R184" s="2"/>
      <c r="S184" s="1"/>
      <c r="T184" s="2"/>
    </row>
    <row r="185" spans="1:20" s="3" customFormat="1" ht="12" customHeight="1">
      <c r="A185" s="299"/>
      <c r="B185" s="242"/>
      <c r="C185" s="242"/>
      <c r="D185" s="242"/>
      <c r="E185" s="242"/>
      <c r="F185" s="242"/>
      <c r="G185" s="242"/>
      <c r="H185" s="242"/>
      <c r="I185" s="242"/>
      <c r="J185" s="242"/>
      <c r="K185" s="242"/>
      <c r="L185" s="1"/>
      <c r="M185" s="1"/>
      <c r="N185" s="530"/>
      <c r="O185" s="530"/>
      <c r="P185" s="530"/>
      <c r="Q185" s="530"/>
      <c r="R185" s="2"/>
      <c r="S185" s="1"/>
      <c r="T185" s="2"/>
    </row>
    <row r="186" spans="1:20" s="3" customFormat="1" ht="12" customHeight="1">
      <c r="A186" s="299"/>
      <c r="B186" s="242"/>
      <c r="C186" s="242"/>
      <c r="D186" s="242"/>
      <c r="E186" s="242"/>
      <c r="F186" s="242"/>
      <c r="G186" s="242"/>
      <c r="H186" s="242"/>
      <c r="I186" s="242"/>
      <c r="J186" s="242"/>
      <c r="K186" s="242"/>
      <c r="L186" s="1"/>
      <c r="M186" s="1"/>
      <c r="N186" s="530"/>
      <c r="O186" s="530"/>
      <c r="P186" s="530"/>
      <c r="Q186" s="530"/>
      <c r="R186" s="2"/>
      <c r="S186" s="1"/>
      <c r="T186" s="2"/>
    </row>
    <row r="187" spans="1:20" s="3" customFormat="1" ht="12" customHeight="1">
      <c r="A187" s="299"/>
      <c r="B187" s="242"/>
      <c r="C187" s="242"/>
      <c r="D187" s="242"/>
      <c r="E187" s="242"/>
      <c r="F187" s="242"/>
      <c r="G187" s="242"/>
      <c r="H187" s="242"/>
      <c r="I187" s="242"/>
      <c r="J187" s="242"/>
      <c r="K187" s="242"/>
      <c r="L187" s="1"/>
      <c r="M187" s="1"/>
      <c r="N187" s="530"/>
      <c r="O187" s="530"/>
      <c r="P187" s="530"/>
      <c r="Q187" s="530"/>
      <c r="R187" s="2"/>
      <c r="S187" s="1"/>
      <c r="T187" s="2"/>
    </row>
    <row r="188" spans="1:20" s="3" customFormat="1" ht="12" customHeight="1">
      <c r="A188" s="299"/>
      <c r="B188" s="242"/>
      <c r="C188" s="242"/>
      <c r="D188" s="242"/>
      <c r="E188" s="242"/>
      <c r="F188" s="242"/>
      <c r="G188" s="242"/>
      <c r="H188" s="242"/>
      <c r="I188" s="242"/>
      <c r="J188" s="242"/>
      <c r="K188" s="242"/>
      <c r="L188" s="1"/>
      <c r="M188" s="1"/>
      <c r="N188" s="530"/>
      <c r="O188" s="530"/>
      <c r="P188" s="530"/>
      <c r="Q188" s="530"/>
      <c r="R188" s="2"/>
      <c r="S188" s="1"/>
      <c r="T188" s="2"/>
    </row>
    <row r="189" spans="1:20" s="3" customFormat="1" ht="12" customHeight="1">
      <c r="A189" s="299"/>
      <c r="B189" s="242"/>
      <c r="C189" s="242"/>
      <c r="D189" s="242"/>
      <c r="E189" s="242"/>
      <c r="F189" s="242"/>
      <c r="G189" s="242"/>
      <c r="H189" s="242"/>
      <c r="I189" s="242"/>
      <c r="J189" s="242"/>
      <c r="K189" s="242"/>
      <c r="L189" s="1"/>
      <c r="M189" s="1"/>
      <c r="N189" s="530"/>
      <c r="O189" s="530"/>
      <c r="P189" s="530"/>
      <c r="Q189" s="530"/>
      <c r="R189" s="2"/>
      <c r="S189" s="1"/>
      <c r="T189" s="2"/>
    </row>
    <row r="190" spans="1:20" s="3" customFormat="1" ht="12" customHeight="1">
      <c r="A190" s="299"/>
      <c r="B190" s="242"/>
      <c r="C190" s="242"/>
      <c r="D190" s="242"/>
      <c r="E190" s="242"/>
      <c r="F190" s="242"/>
      <c r="G190" s="242"/>
      <c r="H190" s="242"/>
      <c r="I190" s="242"/>
      <c r="J190" s="242"/>
      <c r="K190" s="242"/>
      <c r="L190" s="1"/>
      <c r="M190" s="1"/>
      <c r="N190" s="530"/>
      <c r="O190" s="530"/>
      <c r="P190" s="530"/>
      <c r="Q190" s="530"/>
      <c r="R190" s="2"/>
      <c r="S190" s="1"/>
      <c r="T190" s="2"/>
    </row>
    <row r="191" spans="1:20" s="3" customFormat="1" ht="12" customHeight="1">
      <c r="A191" s="299"/>
      <c r="B191" s="242"/>
      <c r="C191" s="242"/>
      <c r="D191" s="242"/>
      <c r="E191" s="242"/>
      <c r="F191" s="242"/>
      <c r="G191" s="242"/>
      <c r="H191" s="242"/>
      <c r="I191" s="242"/>
      <c r="J191" s="242"/>
      <c r="K191" s="242"/>
      <c r="L191" s="1"/>
      <c r="M191" s="1"/>
      <c r="N191" s="530"/>
      <c r="O191" s="530"/>
      <c r="P191" s="530"/>
      <c r="Q191" s="530"/>
      <c r="R191" s="2"/>
      <c r="S191" s="1"/>
      <c r="T191" s="2"/>
    </row>
    <row r="192" spans="1:20" s="3" customFormat="1" ht="12" customHeight="1">
      <c r="A192" s="299"/>
      <c r="B192" s="242"/>
      <c r="C192" s="242"/>
      <c r="D192" s="242"/>
      <c r="E192" s="242"/>
      <c r="F192" s="242"/>
      <c r="G192" s="242"/>
      <c r="H192" s="242"/>
      <c r="I192" s="242"/>
      <c r="J192" s="242"/>
      <c r="K192" s="242"/>
      <c r="L192" s="1"/>
      <c r="M192" s="1"/>
      <c r="N192" s="530"/>
      <c r="O192" s="530"/>
      <c r="P192" s="530"/>
      <c r="Q192" s="530"/>
      <c r="R192" s="2"/>
      <c r="S192" s="1"/>
      <c r="T192" s="2"/>
    </row>
    <row r="193" spans="1:20" s="3" customFormat="1" ht="12" customHeight="1">
      <c r="A193" s="299"/>
      <c r="B193" s="242"/>
      <c r="C193" s="242"/>
      <c r="D193" s="242"/>
      <c r="E193" s="242"/>
      <c r="F193" s="242"/>
      <c r="G193" s="242"/>
      <c r="H193" s="242"/>
      <c r="I193" s="242"/>
      <c r="J193" s="242"/>
      <c r="K193" s="242"/>
      <c r="L193" s="1"/>
      <c r="M193" s="1"/>
      <c r="N193" s="530"/>
      <c r="O193" s="530"/>
      <c r="P193" s="530"/>
      <c r="Q193" s="530"/>
      <c r="R193" s="2"/>
      <c r="S193" s="1"/>
      <c r="T193" s="2"/>
    </row>
    <row r="194" spans="1:20" s="3" customFormat="1" ht="12" customHeight="1">
      <c r="A194" s="299"/>
      <c r="B194" s="242"/>
      <c r="C194" s="242"/>
      <c r="D194" s="242"/>
      <c r="E194" s="242"/>
      <c r="F194" s="242"/>
      <c r="G194" s="242"/>
      <c r="H194" s="242"/>
      <c r="I194" s="242"/>
      <c r="J194" s="242"/>
      <c r="K194" s="242"/>
      <c r="L194" s="1"/>
      <c r="M194" s="1"/>
      <c r="N194" s="530"/>
      <c r="O194" s="530"/>
      <c r="P194" s="530"/>
      <c r="Q194" s="530"/>
      <c r="R194" s="2"/>
      <c r="S194" s="1"/>
      <c r="T194" s="2"/>
    </row>
    <row r="195" spans="1:20" s="3" customFormat="1" ht="12" customHeight="1">
      <c r="A195" s="299"/>
      <c r="B195" s="242"/>
      <c r="C195" s="242"/>
      <c r="D195" s="242"/>
      <c r="E195" s="242"/>
      <c r="F195" s="242"/>
      <c r="G195" s="242"/>
      <c r="H195" s="242"/>
      <c r="I195" s="242"/>
      <c r="J195" s="242"/>
      <c r="K195" s="242"/>
      <c r="L195" s="1"/>
      <c r="M195" s="1"/>
      <c r="N195" s="530"/>
      <c r="O195" s="530"/>
      <c r="P195" s="530"/>
      <c r="Q195" s="530"/>
      <c r="R195" s="2"/>
      <c r="S195" s="1"/>
      <c r="T195" s="2"/>
    </row>
    <row r="196" spans="1:20" s="3" customFormat="1" ht="12" customHeight="1">
      <c r="A196" s="299"/>
      <c r="B196" s="242"/>
      <c r="C196" s="242"/>
      <c r="D196" s="242"/>
      <c r="E196" s="242"/>
      <c r="F196" s="242"/>
      <c r="G196" s="242"/>
      <c r="H196" s="242"/>
      <c r="I196" s="242"/>
      <c r="J196" s="242"/>
      <c r="K196" s="242"/>
      <c r="L196" s="1"/>
      <c r="M196" s="1"/>
      <c r="N196" s="530"/>
      <c r="O196" s="530"/>
      <c r="P196" s="530"/>
      <c r="Q196" s="530"/>
      <c r="R196" s="2"/>
      <c r="S196" s="1"/>
      <c r="T196" s="2"/>
    </row>
    <row r="197" spans="1:20" s="3" customFormat="1" ht="12" customHeight="1">
      <c r="A197" s="299"/>
      <c r="B197" s="242"/>
      <c r="C197" s="242"/>
      <c r="D197" s="242"/>
      <c r="E197" s="242"/>
      <c r="F197" s="242"/>
      <c r="G197" s="242"/>
      <c r="H197" s="242"/>
      <c r="I197" s="242"/>
      <c r="J197" s="242"/>
      <c r="K197" s="242"/>
      <c r="L197" s="1"/>
      <c r="M197" s="1"/>
      <c r="N197" s="530"/>
      <c r="O197" s="530"/>
      <c r="P197" s="530"/>
      <c r="Q197" s="530"/>
      <c r="R197" s="2"/>
      <c r="S197" s="1"/>
      <c r="T197" s="2"/>
    </row>
    <row r="198" spans="1:20" s="3" customFormat="1" ht="12" customHeight="1">
      <c r="A198" s="299"/>
      <c r="B198" s="242"/>
      <c r="C198" s="242"/>
      <c r="D198" s="242"/>
      <c r="E198" s="242"/>
      <c r="F198" s="242"/>
      <c r="G198" s="242"/>
      <c r="H198" s="242"/>
      <c r="I198" s="242"/>
      <c r="J198" s="242"/>
      <c r="K198" s="242"/>
      <c r="L198" s="1"/>
      <c r="M198" s="1"/>
      <c r="N198" s="530"/>
      <c r="O198" s="530"/>
      <c r="P198" s="530"/>
      <c r="Q198" s="530"/>
      <c r="R198" s="2"/>
      <c r="S198" s="1"/>
      <c r="T198" s="2"/>
    </row>
    <row r="199" spans="1:20" s="3" customFormat="1" ht="12" customHeight="1">
      <c r="A199" s="299"/>
      <c r="B199" s="242"/>
      <c r="C199" s="242"/>
      <c r="D199" s="242"/>
      <c r="E199" s="242"/>
      <c r="F199" s="242"/>
      <c r="G199" s="242"/>
      <c r="H199" s="242"/>
      <c r="I199" s="242"/>
      <c r="J199" s="242"/>
      <c r="K199" s="242"/>
      <c r="L199" s="1"/>
      <c r="M199" s="1"/>
      <c r="N199" s="530"/>
      <c r="O199" s="530"/>
      <c r="P199" s="530"/>
      <c r="Q199" s="530"/>
      <c r="R199" s="2"/>
      <c r="S199" s="1"/>
      <c r="T199" s="2"/>
    </row>
    <row r="200" spans="1:20" s="3" customFormat="1" ht="12" customHeight="1">
      <c r="A200" s="299"/>
      <c r="B200" s="242"/>
      <c r="C200" s="242"/>
      <c r="D200" s="242"/>
      <c r="E200" s="242"/>
      <c r="F200" s="242"/>
      <c r="G200" s="242"/>
      <c r="H200" s="242"/>
      <c r="I200" s="242"/>
      <c r="J200" s="242"/>
      <c r="K200" s="242"/>
      <c r="L200" s="1"/>
      <c r="M200" s="1"/>
      <c r="N200" s="530"/>
      <c r="O200" s="530"/>
      <c r="P200" s="530"/>
      <c r="Q200" s="530"/>
      <c r="R200" s="2"/>
      <c r="S200" s="1"/>
      <c r="T200" s="2"/>
    </row>
    <row r="201" spans="1:20" s="3" customFormat="1" ht="12" customHeight="1">
      <c r="A201" s="299"/>
      <c r="B201" s="242"/>
      <c r="C201" s="242"/>
      <c r="D201" s="242"/>
      <c r="E201" s="242"/>
      <c r="F201" s="242"/>
      <c r="G201" s="242"/>
      <c r="H201" s="242"/>
      <c r="I201" s="242"/>
      <c r="J201" s="242"/>
      <c r="K201" s="242"/>
      <c r="L201" s="1"/>
      <c r="M201" s="1"/>
      <c r="N201" s="530"/>
      <c r="O201" s="530"/>
      <c r="P201" s="530"/>
      <c r="Q201" s="530"/>
      <c r="R201" s="2"/>
      <c r="S201" s="1"/>
      <c r="T201" s="2"/>
    </row>
    <row r="202" spans="1:20" s="3" customFormat="1" ht="12" customHeight="1">
      <c r="A202" s="299"/>
      <c r="B202" s="242"/>
      <c r="C202" s="242"/>
      <c r="D202" s="242"/>
      <c r="E202" s="242"/>
      <c r="F202" s="242"/>
      <c r="G202" s="242"/>
      <c r="H202" s="242"/>
      <c r="I202" s="242"/>
      <c r="J202" s="242"/>
      <c r="K202" s="242"/>
      <c r="L202" s="1"/>
      <c r="M202" s="1"/>
      <c r="N202" s="530"/>
      <c r="O202" s="530"/>
      <c r="P202" s="530"/>
      <c r="Q202" s="530"/>
      <c r="R202" s="2"/>
      <c r="S202" s="1"/>
      <c r="T202" s="2"/>
    </row>
    <row r="203" spans="1:20" s="3" customFormat="1" ht="12" customHeight="1">
      <c r="A203" s="299"/>
      <c r="B203" s="242"/>
      <c r="C203" s="242"/>
      <c r="D203" s="242"/>
      <c r="E203" s="242"/>
      <c r="F203" s="242"/>
      <c r="G203" s="242"/>
      <c r="H203" s="242"/>
      <c r="I203" s="242"/>
      <c r="J203" s="242"/>
      <c r="K203" s="242"/>
      <c r="L203" s="1"/>
      <c r="M203" s="1"/>
      <c r="N203" s="530"/>
      <c r="O203" s="530"/>
      <c r="P203" s="530"/>
      <c r="Q203" s="530"/>
      <c r="R203" s="2"/>
      <c r="S203" s="1"/>
      <c r="T203" s="2"/>
    </row>
    <row r="204" spans="1:20" s="3" customFormat="1" ht="12" customHeight="1">
      <c r="A204" s="299"/>
      <c r="B204" s="242"/>
      <c r="C204" s="242"/>
      <c r="D204" s="242"/>
      <c r="E204" s="242"/>
      <c r="F204" s="242"/>
      <c r="G204" s="242"/>
      <c r="H204" s="242"/>
      <c r="I204" s="242"/>
      <c r="J204" s="242"/>
      <c r="K204" s="242"/>
      <c r="L204" s="1"/>
      <c r="M204" s="1"/>
      <c r="N204" s="530"/>
      <c r="O204" s="530"/>
      <c r="P204" s="530"/>
      <c r="Q204" s="530"/>
      <c r="R204" s="2"/>
      <c r="S204" s="1"/>
      <c r="T204" s="2"/>
    </row>
    <row r="205" spans="1:20" s="3" customFormat="1" ht="12" customHeight="1">
      <c r="A205" s="299"/>
      <c r="B205" s="242"/>
      <c r="C205" s="242"/>
      <c r="D205" s="242"/>
      <c r="E205" s="242"/>
      <c r="F205" s="242"/>
      <c r="G205" s="242"/>
      <c r="H205" s="242"/>
      <c r="I205" s="242"/>
      <c r="J205" s="242"/>
      <c r="K205" s="242"/>
      <c r="L205" s="1"/>
      <c r="M205" s="1"/>
      <c r="N205" s="530"/>
      <c r="O205" s="530"/>
      <c r="P205" s="530"/>
      <c r="Q205" s="530"/>
      <c r="R205" s="2"/>
      <c r="S205" s="1"/>
      <c r="T205" s="2"/>
    </row>
    <row r="206" spans="1:20" s="3" customFormat="1" ht="12" customHeight="1">
      <c r="A206" s="299"/>
      <c r="B206" s="242"/>
      <c r="C206" s="242"/>
      <c r="D206" s="242"/>
      <c r="E206" s="242"/>
      <c r="F206" s="242"/>
      <c r="G206" s="242"/>
      <c r="H206" s="242"/>
      <c r="I206" s="242"/>
      <c r="J206" s="242"/>
      <c r="K206" s="242"/>
      <c r="L206" s="1"/>
      <c r="M206" s="1"/>
      <c r="N206" s="530"/>
      <c r="O206" s="530"/>
      <c r="P206" s="530"/>
      <c r="Q206" s="530"/>
      <c r="R206" s="2"/>
      <c r="S206" s="1"/>
      <c r="T206" s="2"/>
    </row>
    <row r="207" spans="1:20" s="3" customFormat="1" ht="12" customHeight="1">
      <c r="A207" s="299"/>
      <c r="B207" s="242"/>
      <c r="C207" s="242"/>
      <c r="D207" s="242"/>
      <c r="E207" s="242"/>
      <c r="F207" s="242"/>
      <c r="G207" s="242"/>
      <c r="H207" s="242"/>
      <c r="I207" s="242"/>
      <c r="J207" s="242"/>
      <c r="K207" s="242"/>
      <c r="L207" s="1"/>
      <c r="M207" s="1"/>
      <c r="N207" s="530"/>
      <c r="O207" s="530"/>
      <c r="P207" s="530"/>
      <c r="Q207" s="530"/>
      <c r="R207" s="2"/>
      <c r="S207" s="1"/>
      <c r="T207" s="2"/>
    </row>
    <row r="208" spans="1:20" s="3" customFormat="1" ht="12" customHeight="1">
      <c r="A208" s="299"/>
      <c r="B208" s="242"/>
      <c r="C208" s="242"/>
      <c r="D208" s="242"/>
      <c r="E208" s="242"/>
      <c r="F208" s="242"/>
      <c r="G208" s="242"/>
      <c r="H208" s="242"/>
      <c r="I208" s="242"/>
      <c r="J208" s="242"/>
      <c r="K208" s="242"/>
      <c r="L208" s="1"/>
      <c r="M208" s="1"/>
      <c r="N208" s="530"/>
      <c r="O208" s="530"/>
      <c r="P208" s="530"/>
      <c r="Q208" s="530"/>
      <c r="R208" s="2"/>
      <c r="S208" s="1"/>
      <c r="T208" s="2"/>
    </row>
    <row r="209" spans="1:20" s="3" customFormat="1" ht="12" customHeight="1">
      <c r="A209" s="299"/>
      <c r="B209" s="242"/>
      <c r="C209" s="242"/>
      <c r="D209" s="242"/>
      <c r="E209" s="242"/>
      <c r="F209" s="242"/>
      <c r="G209" s="242"/>
      <c r="H209" s="242"/>
      <c r="I209" s="242"/>
      <c r="J209" s="242"/>
      <c r="K209" s="242"/>
      <c r="L209" s="1"/>
      <c r="M209" s="1"/>
      <c r="N209" s="530"/>
      <c r="O209" s="530"/>
      <c r="P209" s="530"/>
      <c r="Q209" s="530"/>
      <c r="R209" s="2"/>
      <c r="S209" s="1"/>
      <c r="T209" s="2"/>
    </row>
    <row r="210" spans="1:20" s="3" customFormat="1" ht="12" customHeight="1">
      <c r="A210" s="299"/>
      <c r="B210" s="242"/>
      <c r="C210" s="242"/>
      <c r="D210" s="242"/>
      <c r="E210" s="242"/>
      <c r="F210" s="242"/>
      <c r="G210" s="242"/>
      <c r="H210" s="242"/>
      <c r="I210" s="242"/>
      <c r="J210" s="242"/>
      <c r="K210" s="242"/>
      <c r="L210" s="1"/>
      <c r="M210" s="1"/>
      <c r="N210" s="530"/>
      <c r="O210" s="530"/>
      <c r="P210" s="530"/>
      <c r="Q210" s="530"/>
      <c r="R210" s="2"/>
      <c r="S210" s="1"/>
      <c r="T210" s="2"/>
    </row>
    <row r="211" spans="1:20" s="3" customFormat="1" ht="12" customHeight="1">
      <c r="A211" s="299"/>
      <c r="B211" s="242"/>
      <c r="C211" s="242"/>
      <c r="D211" s="242"/>
      <c r="E211" s="242"/>
      <c r="F211" s="242"/>
      <c r="G211" s="242"/>
      <c r="H211" s="242"/>
      <c r="I211" s="242"/>
      <c r="J211" s="242"/>
      <c r="K211" s="242"/>
      <c r="L211" s="1"/>
      <c r="M211" s="1"/>
      <c r="N211" s="530"/>
      <c r="O211" s="530"/>
      <c r="P211" s="530"/>
      <c r="Q211" s="530"/>
      <c r="R211" s="2"/>
      <c r="S211" s="1"/>
      <c r="T211" s="2"/>
    </row>
    <row r="212" spans="1:20" s="3" customFormat="1" ht="12" customHeight="1">
      <c r="A212" s="299"/>
      <c r="B212" s="242"/>
      <c r="C212" s="242"/>
      <c r="D212" s="242"/>
      <c r="E212" s="242"/>
      <c r="F212" s="242"/>
      <c r="G212" s="242"/>
      <c r="H212" s="242"/>
      <c r="I212" s="242"/>
      <c r="J212" s="242"/>
      <c r="K212" s="242"/>
      <c r="L212" s="1"/>
      <c r="M212" s="1"/>
      <c r="N212" s="530"/>
      <c r="O212" s="530"/>
      <c r="P212" s="530"/>
      <c r="Q212" s="530"/>
      <c r="R212" s="2"/>
      <c r="S212" s="1"/>
      <c r="T212" s="2"/>
    </row>
    <row r="213" spans="1:20" s="3" customFormat="1" ht="12" customHeight="1">
      <c r="A213" s="299"/>
      <c r="B213" s="242"/>
      <c r="C213" s="242"/>
      <c r="D213" s="242"/>
      <c r="E213" s="242"/>
      <c r="F213" s="242"/>
      <c r="G213" s="242"/>
      <c r="H213" s="242"/>
      <c r="I213" s="242"/>
      <c r="J213" s="242"/>
      <c r="K213" s="242"/>
      <c r="L213" s="1"/>
      <c r="M213" s="1"/>
      <c r="N213" s="530"/>
      <c r="O213" s="530"/>
      <c r="P213" s="530"/>
      <c r="Q213" s="530"/>
      <c r="R213" s="2"/>
      <c r="S213" s="1"/>
      <c r="T213" s="2"/>
    </row>
    <row r="214" spans="1:20" s="3" customFormat="1" ht="12" customHeight="1">
      <c r="A214" s="299"/>
      <c r="B214" s="242"/>
      <c r="C214" s="242"/>
      <c r="D214" s="242"/>
      <c r="E214" s="242"/>
      <c r="F214" s="242"/>
      <c r="G214" s="242"/>
      <c r="H214" s="242"/>
      <c r="I214" s="242"/>
      <c r="J214" s="242"/>
      <c r="K214" s="242"/>
      <c r="L214" s="1"/>
      <c r="M214" s="1"/>
      <c r="N214" s="530"/>
      <c r="O214" s="530"/>
      <c r="P214" s="530"/>
      <c r="Q214" s="530"/>
      <c r="R214" s="2"/>
      <c r="S214" s="1"/>
      <c r="T214" s="2"/>
    </row>
    <row r="215" spans="1:20" s="3" customFormat="1" ht="12" customHeight="1">
      <c r="A215" s="299"/>
      <c r="B215" s="242"/>
      <c r="C215" s="242"/>
      <c r="D215" s="242"/>
      <c r="E215" s="242"/>
      <c r="F215" s="242"/>
      <c r="G215" s="242"/>
      <c r="H215" s="242"/>
      <c r="I215" s="242"/>
      <c r="J215" s="242"/>
      <c r="K215" s="242"/>
      <c r="L215" s="1"/>
      <c r="M215" s="1"/>
      <c r="N215" s="530"/>
      <c r="O215" s="530"/>
      <c r="P215" s="530"/>
      <c r="Q215" s="530"/>
      <c r="R215" s="2"/>
      <c r="S215" s="1"/>
      <c r="T215" s="2"/>
    </row>
    <row r="216" spans="1:20" s="3" customFormat="1" ht="12" customHeight="1">
      <c r="A216" s="299"/>
      <c r="B216" s="242"/>
      <c r="C216" s="242"/>
      <c r="D216" s="242"/>
      <c r="E216" s="242"/>
      <c r="F216" s="242"/>
      <c r="G216" s="242"/>
      <c r="H216" s="242"/>
      <c r="I216" s="242"/>
      <c r="J216" s="242"/>
      <c r="K216" s="242"/>
      <c r="L216" s="1"/>
      <c r="M216" s="1"/>
      <c r="N216" s="530"/>
      <c r="O216" s="530"/>
      <c r="P216" s="530"/>
      <c r="Q216" s="530"/>
      <c r="R216" s="2"/>
      <c r="S216" s="1"/>
      <c r="T216" s="2"/>
    </row>
    <row r="217" spans="1:20" s="3" customFormat="1" ht="12" customHeight="1">
      <c r="A217" s="299"/>
      <c r="B217" s="242"/>
      <c r="C217" s="242"/>
      <c r="D217" s="242"/>
      <c r="E217" s="242"/>
      <c r="F217" s="242"/>
      <c r="G217" s="242"/>
      <c r="H217" s="242"/>
      <c r="I217" s="242"/>
      <c r="J217" s="242"/>
      <c r="K217" s="242"/>
      <c r="L217" s="1"/>
      <c r="M217" s="1"/>
      <c r="N217" s="530"/>
      <c r="O217" s="530"/>
      <c r="P217" s="530"/>
      <c r="Q217" s="530"/>
      <c r="R217" s="2"/>
      <c r="S217" s="1"/>
      <c r="T217" s="2"/>
    </row>
    <row r="218" spans="1:20" s="3" customFormat="1" ht="12" customHeight="1">
      <c r="A218" s="299"/>
      <c r="B218" s="242"/>
      <c r="C218" s="242"/>
      <c r="D218" s="242"/>
      <c r="E218" s="242"/>
      <c r="F218" s="242"/>
      <c r="G218" s="242"/>
      <c r="H218" s="242"/>
      <c r="I218" s="242"/>
      <c r="J218" s="242"/>
      <c r="K218" s="242"/>
      <c r="L218" s="1"/>
      <c r="M218" s="1"/>
      <c r="N218" s="530"/>
      <c r="O218" s="530"/>
      <c r="P218" s="530"/>
      <c r="Q218" s="530"/>
      <c r="R218" s="2"/>
      <c r="S218" s="1"/>
      <c r="T218" s="2"/>
    </row>
    <row r="219" spans="1:20" s="3" customFormat="1" ht="12" customHeight="1">
      <c r="A219" s="299"/>
      <c r="B219" s="242"/>
      <c r="C219" s="242"/>
      <c r="D219" s="242"/>
      <c r="E219" s="242"/>
      <c r="F219" s="242"/>
      <c r="G219" s="242"/>
      <c r="H219" s="242"/>
      <c r="I219" s="242"/>
      <c r="J219" s="242"/>
      <c r="K219" s="242"/>
      <c r="L219" s="1"/>
      <c r="M219" s="1"/>
      <c r="N219" s="530"/>
      <c r="O219" s="530"/>
      <c r="P219" s="530"/>
      <c r="Q219" s="530"/>
      <c r="R219" s="2"/>
      <c r="S219" s="1"/>
      <c r="T219" s="2"/>
    </row>
    <row r="220" spans="1:20" s="3" customFormat="1" ht="12" customHeight="1">
      <c r="A220" s="299"/>
      <c r="B220" s="242"/>
      <c r="C220" s="242"/>
      <c r="D220" s="242"/>
      <c r="E220" s="242"/>
      <c r="F220" s="242"/>
      <c r="G220" s="242"/>
      <c r="H220" s="242"/>
      <c r="I220" s="242"/>
      <c r="J220" s="242"/>
      <c r="K220" s="242"/>
      <c r="L220" s="1"/>
      <c r="M220" s="1"/>
      <c r="N220" s="530"/>
      <c r="O220" s="530"/>
      <c r="P220" s="530"/>
      <c r="Q220" s="530"/>
      <c r="R220" s="2"/>
      <c r="S220" s="1"/>
      <c r="T220" s="2"/>
    </row>
    <row r="221" spans="1:20" s="3" customFormat="1" ht="12" customHeight="1">
      <c r="A221" s="299"/>
      <c r="B221" s="242"/>
      <c r="C221" s="242"/>
      <c r="D221" s="242"/>
      <c r="E221" s="242"/>
      <c r="F221" s="242"/>
      <c r="G221" s="242"/>
      <c r="H221" s="242"/>
      <c r="I221" s="242"/>
      <c r="J221" s="242"/>
      <c r="K221" s="242"/>
      <c r="L221" s="1"/>
      <c r="M221" s="1"/>
      <c r="N221" s="530"/>
      <c r="O221" s="530"/>
      <c r="P221" s="530"/>
      <c r="Q221" s="530"/>
      <c r="R221" s="2"/>
      <c r="S221" s="1"/>
      <c r="T221" s="2"/>
    </row>
    <row r="222" spans="1:20" s="3" customFormat="1" ht="12" customHeight="1">
      <c r="A222" s="299"/>
      <c r="B222" s="242"/>
      <c r="C222" s="242"/>
      <c r="D222" s="242"/>
      <c r="E222" s="242"/>
      <c r="F222" s="242"/>
      <c r="G222" s="242"/>
      <c r="H222" s="242"/>
      <c r="I222" s="242"/>
      <c r="J222" s="242"/>
      <c r="K222" s="242"/>
      <c r="L222" s="1"/>
      <c r="M222" s="1"/>
      <c r="N222" s="530"/>
      <c r="O222" s="530"/>
      <c r="P222" s="530"/>
      <c r="Q222" s="530"/>
      <c r="R222" s="2"/>
      <c r="S222" s="1"/>
      <c r="T222" s="2"/>
    </row>
    <row r="223" spans="1:20" s="3" customFormat="1" ht="12" customHeight="1">
      <c r="A223" s="299"/>
      <c r="B223" s="242"/>
      <c r="C223" s="242"/>
      <c r="D223" s="242"/>
      <c r="E223" s="242"/>
      <c r="F223" s="242"/>
      <c r="G223" s="242"/>
      <c r="H223" s="242"/>
      <c r="I223" s="242"/>
      <c r="J223" s="242"/>
      <c r="K223" s="242"/>
      <c r="L223" s="1"/>
      <c r="M223" s="1"/>
      <c r="N223" s="530"/>
      <c r="O223" s="530"/>
      <c r="P223" s="530"/>
      <c r="Q223" s="530"/>
      <c r="R223" s="2"/>
      <c r="S223" s="1"/>
      <c r="T223" s="2"/>
    </row>
    <row r="224" spans="1:20" s="3" customFormat="1" ht="12" customHeight="1">
      <c r="A224" s="299"/>
      <c r="B224" s="242"/>
      <c r="C224" s="242"/>
      <c r="D224" s="242"/>
      <c r="E224" s="242"/>
      <c r="F224" s="242"/>
      <c r="G224" s="242"/>
      <c r="H224" s="242"/>
      <c r="I224" s="242"/>
      <c r="J224" s="242"/>
      <c r="K224" s="242"/>
      <c r="L224" s="1"/>
      <c r="M224" s="1"/>
      <c r="N224" s="530"/>
      <c r="O224" s="530"/>
      <c r="P224" s="530"/>
      <c r="Q224" s="530"/>
      <c r="R224" s="2"/>
      <c r="S224" s="1"/>
      <c r="T224" s="2"/>
    </row>
    <row r="225" spans="1:20" s="3" customFormat="1" ht="12" customHeight="1">
      <c r="A225" s="299"/>
      <c r="B225" s="242"/>
      <c r="C225" s="242"/>
      <c r="D225" s="242"/>
      <c r="E225" s="242"/>
      <c r="F225" s="242"/>
      <c r="G225" s="242"/>
      <c r="H225" s="242"/>
      <c r="I225" s="242"/>
      <c r="J225" s="242"/>
      <c r="K225" s="242"/>
      <c r="L225" s="1"/>
      <c r="M225" s="1"/>
      <c r="N225" s="530"/>
      <c r="O225" s="530"/>
      <c r="P225" s="530"/>
      <c r="Q225" s="530"/>
      <c r="R225" s="2"/>
      <c r="S225" s="1"/>
      <c r="T225" s="2"/>
    </row>
    <row r="226" spans="1:20" s="3" customFormat="1" ht="12" customHeight="1">
      <c r="A226" s="299"/>
      <c r="B226" s="242"/>
      <c r="C226" s="242"/>
      <c r="D226" s="242"/>
      <c r="E226" s="242"/>
      <c r="F226" s="242"/>
      <c r="G226" s="242"/>
      <c r="H226" s="242"/>
      <c r="I226" s="242"/>
      <c r="J226" s="242"/>
      <c r="K226" s="242"/>
      <c r="L226" s="1"/>
      <c r="M226" s="1"/>
      <c r="N226" s="530"/>
      <c r="O226" s="530"/>
      <c r="P226" s="530"/>
      <c r="Q226" s="530"/>
      <c r="R226" s="2"/>
      <c r="S226" s="1"/>
      <c r="T226" s="2"/>
    </row>
    <row r="227" spans="1:20" s="3" customFormat="1" ht="12" customHeight="1">
      <c r="A227" s="299"/>
      <c r="B227" s="242"/>
      <c r="C227" s="242"/>
      <c r="D227" s="242"/>
      <c r="E227" s="242"/>
      <c r="F227" s="242"/>
      <c r="G227" s="242"/>
      <c r="H227" s="242"/>
      <c r="I227" s="242"/>
      <c r="J227" s="242"/>
      <c r="K227" s="242"/>
      <c r="L227" s="1"/>
      <c r="M227" s="1"/>
      <c r="N227" s="530"/>
      <c r="O227" s="530"/>
      <c r="P227" s="530"/>
      <c r="Q227" s="530"/>
      <c r="R227" s="2"/>
      <c r="S227" s="1"/>
      <c r="T227" s="2"/>
    </row>
    <row r="228" spans="1:20" s="3" customFormat="1" ht="12" customHeight="1">
      <c r="A228" s="299"/>
      <c r="B228" s="242"/>
      <c r="C228" s="242"/>
      <c r="D228" s="242"/>
      <c r="E228" s="242"/>
      <c r="F228" s="242"/>
      <c r="G228" s="242"/>
      <c r="H228" s="242"/>
      <c r="I228" s="242"/>
      <c r="J228" s="242"/>
      <c r="K228" s="242"/>
      <c r="L228" s="1"/>
      <c r="M228" s="1"/>
      <c r="N228" s="530"/>
      <c r="O228" s="530"/>
      <c r="P228" s="530"/>
      <c r="Q228" s="530"/>
      <c r="R228" s="2"/>
      <c r="S228" s="1"/>
      <c r="T228" s="2"/>
    </row>
    <row r="229" spans="1:20" s="3" customFormat="1" ht="12" customHeight="1">
      <c r="A229" s="299"/>
      <c r="B229" s="242"/>
      <c r="C229" s="242"/>
      <c r="D229" s="242"/>
      <c r="E229" s="242"/>
      <c r="F229" s="242"/>
      <c r="G229" s="242"/>
      <c r="H229" s="242"/>
      <c r="I229" s="242"/>
      <c r="J229" s="242"/>
      <c r="K229" s="242"/>
      <c r="L229" s="1"/>
      <c r="M229" s="1"/>
      <c r="N229" s="530"/>
      <c r="O229" s="530"/>
      <c r="P229" s="530"/>
      <c r="Q229" s="530"/>
      <c r="R229" s="2"/>
      <c r="S229" s="1"/>
      <c r="T229" s="2"/>
    </row>
    <row r="230" spans="1:20" s="3" customFormat="1" ht="12" customHeight="1">
      <c r="A230" s="299"/>
      <c r="B230" s="242"/>
      <c r="C230" s="242"/>
      <c r="D230" s="242"/>
      <c r="E230" s="242"/>
      <c r="F230" s="242"/>
      <c r="G230" s="242"/>
      <c r="H230" s="242"/>
      <c r="I230" s="242"/>
      <c r="J230" s="242"/>
      <c r="K230" s="242"/>
      <c r="L230" s="1"/>
      <c r="M230" s="1"/>
      <c r="N230" s="530"/>
      <c r="O230" s="530"/>
      <c r="P230" s="530"/>
      <c r="Q230" s="530"/>
      <c r="R230" s="2"/>
      <c r="S230" s="1"/>
      <c r="T230" s="2"/>
    </row>
    <row r="231" spans="1:20" s="3" customFormat="1" ht="12" customHeight="1">
      <c r="A231" s="299"/>
      <c r="B231" s="242"/>
      <c r="C231" s="242"/>
      <c r="D231" s="242"/>
      <c r="E231" s="242"/>
      <c r="F231" s="242"/>
      <c r="G231" s="242"/>
      <c r="H231" s="242"/>
      <c r="I231" s="242"/>
      <c r="J231" s="242"/>
      <c r="K231" s="242"/>
      <c r="L231" s="1"/>
      <c r="M231" s="1"/>
      <c r="N231" s="530"/>
      <c r="O231" s="530"/>
      <c r="P231" s="530"/>
      <c r="Q231" s="530"/>
      <c r="R231" s="2"/>
      <c r="S231" s="1"/>
      <c r="T231" s="2"/>
    </row>
    <row r="232" spans="1:20" s="3" customFormat="1" ht="12" customHeight="1">
      <c r="A232" s="299"/>
      <c r="B232" s="242"/>
      <c r="C232" s="242"/>
      <c r="D232" s="242"/>
      <c r="E232" s="242"/>
      <c r="F232" s="242"/>
      <c r="G232" s="242"/>
      <c r="H232" s="242"/>
      <c r="I232" s="242"/>
      <c r="J232" s="242"/>
      <c r="K232" s="242"/>
      <c r="L232" s="1"/>
      <c r="M232" s="1"/>
      <c r="N232" s="530"/>
      <c r="O232" s="530"/>
      <c r="P232" s="530"/>
      <c r="Q232" s="530"/>
      <c r="R232" s="2"/>
      <c r="S232" s="1"/>
      <c r="T232" s="2"/>
    </row>
    <row r="233" spans="1:20" s="3" customFormat="1" ht="12" customHeight="1">
      <c r="A233" s="299"/>
      <c r="B233" s="242"/>
      <c r="C233" s="242"/>
      <c r="D233" s="242"/>
      <c r="E233" s="242"/>
      <c r="F233" s="242"/>
      <c r="G233" s="242"/>
      <c r="H233" s="242"/>
      <c r="I233" s="242"/>
      <c r="J233" s="242"/>
      <c r="K233" s="242"/>
      <c r="L233" s="1"/>
      <c r="M233" s="1"/>
      <c r="N233" s="530"/>
      <c r="O233" s="530"/>
      <c r="P233" s="530"/>
      <c r="Q233" s="530"/>
      <c r="R233" s="2"/>
      <c r="S233" s="1"/>
      <c r="T233" s="2"/>
    </row>
    <row r="234" spans="1:20" s="3" customFormat="1" ht="12" customHeight="1">
      <c r="A234" s="299"/>
      <c r="B234" s="242"/>
      <c r="C234" s="242"/>
      <c r="D234" s="242"/>
      <c r="E234" s="242"/>
      <c r="F234" s="242"/>
      <c r="G234" s="242"/>
      <c r="H234" s="242"/>
      <c r="I234" s="242"/>
      <c r="J234" s="242"/>
      <c r="K234" s="242"/>
      <c r="L234" s="1"/>
      <c r="M234" s="1"/>
      <c r="N234" s="530"/>
      <c r="O234" s="530"/>
      <c r="P234" s="530"/>
      <c r="Q234" s="530"/>
      <c r="R234" s="2"/>
      <c r="S234" s="1"/>
      <c r="T234" s="2"/>
    </row>
    <row r="235" spans="1:20" s="3" customFormat="1" ht="12" customHeight="1">
      <c r="A235" s="299"/>
      <c r="B235" s="242"/>
      <c r="C235" s="242"/>
      <c r="D235" s="242"/>
      <c r="E235" s="242"/>
      <c r="F235" s="242"/>
      <c r="G235" s="242"/>
      <c r="H235" s="242"/>
      <c r="I235" s="242"/>
      <c r="J235" s="242"/>
      <c r="K235" s="242"/>
      <c r="L235" s="1"/>
      <c r="M235" s="1"/>
      <c r="N235" s="530"/>
      <c r="O235" s="530"/>
      <c r="P235" s="530"/>
      <c r="Q235" s="530"/>
      <c r="R235" s="2"/>
      <c r="S235" s="1"/>
      <c r="T235" s="2"/>
    </row>
    <row r="236" spans="1:20" s="3" customFormat="1" ht="12" customHeight="1">
      <c r="A236" s="299"/>
      <c r="B236" s="242"/>
      <c r="C236" s="242"/>
      <c r="D236" s="242"/>
      <c r="E236" s="242"/>
      <c r="F236" s="242"/>
      <c r="G236" s="242"/>
      <c r="H236" s="242"/>
      <c r="I236" s="242"/>
      <c r="J236" s="242"/>
      <c r="K236" s="242"/>
      <c r="L236" s="1"/>
      <c r="M236" s="1"/>
      <c r="N236" s="530"/>
      <c r="O236" s="530"/>
      <c r="P236" s="530"/>
      <c r="Q236" s="530"/>
      <c r="R236" s="2"/>
      <c r="S236" s="1"/>
      <c r="T236" s="2"/>
    </row>
    <row r="237" spans="1:20" s="3" customFormat="1" ht="12" customHeight="1">
      <c r="A237" s="299"/>
      <c r="B237" s="242"/>
      <c r="C237" s="242"/>
      <c r="D237" s="242"/>
      <c r="E237" s="242"/>
      <c r="F237" s="242"/>
      <c r="G237" s="242"/>
      <c r="H237" s="242"/>
      <c r="I237" s="242"/>
      <c r="J237" s="242"/>
      <c r="K237" s="242"/>
      <c r="L237" s="1"/>
      <c r="M237" s="1"/>
      <c r="N237" s="530"/>
      <c r="O237" s="530"/>
      <c r="P237" s="530"/>
      <c r="Q237" s="530"/>
      <c r="R237" s="2"/>
      <c r="S237" s="1"/>
      <c r="T237" s="2"/>
    </row>
    <row r="238" spans="1:20" s="3" customFormat="1" ht="12" customHeight="1">
      <c r="A238" s="299"/>
      <c r="B238" s="242"/>
      <c r="C238" s="242"/>
      <c r="D238" s="242"/>
      <c r="E238" s="242"/>
      <c r="F238" s="242"/>
      <c r="G238" s="242"/>
      <c r="H238" s="242"/>
      <c r="I238" s="242"/>
      <c r="J238" s="242"/>
      <c r="K238" s="242"/>
      <c r="L238" s="1"/>
      <c r="M238" s="1"/>
      <c r="N238" s="530"/>
      <c r="O238" s="530"/>
      <c r="P238" s="530"/>
      <c r="Q238" s="530"/>
      <c r="R238" s="2"/>
      <c r="S238" s="1"/>
      <c r="T238" s="2"/>
    </row>
    <row r="239" spans="1:20" s="3" customFormat="1" ht="12" customHeight="1">
      <c r="A239" s="299"/>
      <c r="B239" s="242"/>
      <c r="C239" s="242"/>
      <c r="D239" s="242"/>
      <c r="E239" s="242"/>
      <c r="F239" s="242"/>
      <c r="G239" s="242"/>
      <c r="H239" s="242"/>
      <c r="I239" s="242"/>
      <c r="J239" s="242"/>
      <c r="K239" s="242"/>
      <c r="L239" s="1"/>
      <c r="M239" s="1"/>
      <c r="N239" s="530"/>
      <c r="O239" s="530"/>
      <c r="P239" s="530"/>
      <c r="Q239" s="530"/>
      <c r="R239" s="2"/>
      <c r="S239" s="1"/>
      <c r="T239" s="2"/>
    </row>
    <row r="240" spans="1:20" s="3" customFormat="1" ht="12" customHeight="1">
      <c r="A240" s="299"/>
      <c r="B240" s="242"/>
      <c r="C240" s="242"/>
      <c r="D240" s="242"/>
      <c r="E240" s="242"/>
      <c r="F240" s="242"/>
      <c r="G240" s="242"/>
      <c r="H240" s="242"/>
      <c r="I240" s="242"/>
      <c r="J240" s="242"/>
      <c r="K240" s="242"/>
      <c r="L240" s="1"/>
      <c r="M240" s="1"/>
      <c r="N240" s="530"/>
      <c r="O240" s="530"/>
      <c r="P240" s="530"/>
      <c r="Q240" s="530"/>
      <c r="R240" s="2"/>
      <c r="S240" s="1"/>
      <c r="T240" s="2"/>
    </row>
    <row r="241" spans="1:20" s="3" customFormat="1" ht="12" customHeight="1">
      <c r="A241" s="299"/>
      <c r="B241" s="242"/>
      <c r="C241" s="242"/>
      <c r="D241" s="242"/>
      <c r="E241" s="242"/>
      <c r="F241" s="242"/>
      <c r="G241" s="242"/>
      <c r="H241" s="242"/>
      <c r="I241" s="242"/>
      <c r="J241" s="242"/>
      <c r="K241" s="242"/>
      <c r="L241" s="1"/>
      <c r="M241" s="1"/>
      <c r="N241" s="530"/>
      <c r="O241" s="530"/>
      <c r="P241" s="530"/>
      <c r="Q241" s="530"/>
      <c r="R241" s="2"/>
      <c r="S241" s="1"/>
      <c r="T241" s="2"/>
    </row>
    <row r="242" spans="1:20" s="3" customFormat="1" ht="12" customHeight="1">
      <c r="A242" s="299"/>
      <c r="B242" s="242"/>
      <c r="C242" s="242"/>
      <c r="D242" s="242"/>
      <c r="E242" s="242"/>
      <c r="F242" s="242"/>
      <c r="G242" s="242"/>
      <c r="H242" s="242"/>
      <c r="I242" s="242"/>
      <c r="J242" s="242"/>
      <c r="K242" s="242"/>
      <c r="L242" s="1"/>
      <c r="M242" s="1"/>
      <c r="N242" s="530"/>
      <c r="O242" s="530"/>
      <c r="P242" s="530"/>
      <c r="Q242" s="530"/>
      <c r="R242" s="2"/>
      <c r="S242" s="1"/>
      <c r="T242" s="2"/>
    </row>
    <row r="243" spans="1:20" s="3" customFormat="1" ht="12" customHeight="1">
      <c r="A243" s="299"/>
      <c r="B243" s="242"/>
      <c r="C243" s="242"/>
      <c r="D243" s="242"/>
      <c r="E243" s="242"/>
      <c r="F243" s="242"/>
      <c r="G243" s="242"/>
      <c r="H243" s="242"/>
      <c r="I243" s="242"/>
      <c r="J243" s="242"/>
      <c r="K243" s="242"/>
      <c r="L243" s="1"/>
      <c r="M243" s="1"/>
      <c r="N243" s="530"/>
      <c r="O243" s="530"/>
      <c r="P243" s="530"/>
      <c r="Q243" s="530"/>
      <c r="R243" s="2"/>
      <c r="S243" s="1"/>
      <c r="T243" s="2"/>
    </row>
    <row r="244" spans="1:20" s="3" customFormat="1" ht="12" customHeight="1">
      <c r="A244" s="299"/>
      <c r="B244" s="242"/>
      <c r="C244" s="242"/>
      <c r="D244" s="242"/>
      <c r="E244" s="242"/>
      <c r="F244" s="242"/>
      <c r="G244" s="242"/>
      <c r="H244" s="242"/>
      <c r="I244" s="242"/>
      <c r="J244" s="242"/>
      <c r="K244" s="242"/>
      <c r="L244" s="1"/>
      <c r="M244" s="1"/>
      <c r="N244" s="530"/>
      <c r="O244" s="530"/>
      <c r="P244" s="530"/>
      <c r="Q244" s="530"/>
      <c r="R244" s="2"/>
      <c r="S244" s="1"/>
      <c r="T244" s="2"/>
    </row>
    <row r="245" spans="1:20" s="3" customFormat="1" ht="12" customHeight="1">
      <c r="A245" s="299"/>
      <c r="B245" s="242"/>
      <c r="C245" s="242"/>
      <c r="D245" s="242"/>
      <c r="E245" s="242"/>
      <c r="F245" s="242"/>
      <c r="G245" s="242"/>
      <c r="H245" s="242"/>
      <c r="I245" s="242"/>
      <c r="J245" s="242"/>
      <c r="K245" s="242"/>
      <c r="L245" s="1"/>
      <c r="M245" s="1"/>
      <c r="N245" s="530"/>
      <c r="O245" s="530"/>
      <c r="P245" s="530"/>
      <c r="Q245" s="530"/>
      <c r="R245" s="2"/>
      <c r="S245" s="1"/>
      <c r="T245" s="2"/>
    </row>
    <row r="246" spans="1:20" s="3" customFormat="1" ht="12" customHeight="1">
      <c r="A246" s="299"/>
      <c r="B246" s="242"/>
      <c r="C246" s="242"/>
      <c r="D246" s="242"/>
      <c r="E246" s="242"/>
      <c r="F246" s="242"/>
      <c r="G246" s="242"/>
      <c r="H246" s="242"/>
      <c r="I246" s="242"/>
      <c r="J246" s="242"/>
      <c r="K246" s="242"/>
      <c r="L246" s="1"/>
      <c r="M246" s="1"/>
      <c r="N246" s="530"/>
      <c r="O246" s="530"/>
      <c r="P246" s="530"/>
      <c r="Q246" s="530"/>
      <c r="R246" s="2"/>
      <c r="S246" s="1"/>
      <c r="T246" s="2"/>
    </row>
    <row r="247" spans="1:20" s="3" customFormat="1" ht="12" customHeight="1">
      <c r="A247" s="299"/>
      <c r="B247" s="242"/>
      <c r="C247" s="242"/>
      <c r="D247" s="242"/>
      <c r="E247" s="242"/>
      <c r="F247" s="242"/>
      <c r="G247" s="242"/>
      <c r="H247" s="242"/>
      <c r="I247" s="242"/>
      <c r="J247" s="242"/>
      <c r="K247" s="242"/>
      <c r="L247" s="1"/>
      <c r="M247" s="1"/>
      <c r="N247" s="530"/>
      <c r="O247" s="530"/>
      <c r="P247" s="530"/>
      <c r="Q247" s="530"/>
      <c r="R247" s="2"/>
      <c r="S247" s="1"/>
      <c r="T247" s="2"/>
    </row>
    <row r="248" spans="1:20" s="3" customFormat="1" ht="12" customHeight="1">
      <c r="A248" s="299"/>
      <c r="B248" s="242"/>
      <c r="C248" s="242"/>
      <c r="D248" s="242"/>
      <c r="E248" s="242"/>
      <c r="F248" s="242"/>
      <c r="G248" s="242"/>
      <c r="H248" s="242"/>
      <c r="I248" s="242"/>
      <c r="J248" s="242"/>
      <c r="K248" s="242"/>
      <c r="L248" s="1"/>
      <c r="M248" s="1"/>
      <c r="N248" s="530"/>
      <c r="O248" s="530"/>
      <c r="P248" s="530"/>
      <c r="Q248" s="530"/>
      <c r="R248" s="2"/>
      <c r="S248" s="1"/>
      <c r="T248" s="2"/>
    </row>
    <row r="249" spans="1:20" s="3" customFormat="1" ht="12" customHeight="1">
      <c r="A249" s="299"/>
      <c r="B249" s="242"/>
      <c r="C249" s="242"/>
      <c r="D249" s="242"/>
      <c r="E249" s="242"/>
      <c r="F249" s="242"/>
      <c r="G249" s="242"/>
      <c r="H249" s="242"/>
      <c r="I249" s="242"/>
      <c r="J249" s="242"/>
      <c r="K249" s="242"/>
      <c r="L249" s="1"/>
      <c r="M249" s="1"/>
      <c r="N249" s="530"/>
      <c r="O249" s="530"/>
      <c r="P249" s="530"/>
      <c r="Q249" s="530"/>
      <c r="R249" s="2"/>
      <c r="S249" s="1"/>
      <c r="T249" s="2"/>
    </row>
    <row r="250" spans="1:20" s="3" customFormat="1" ht="12" customHeight="1">
      <c r="A250" s="299"/>
      <c r="B250" s="242"/>
      <c r="C250" s="242"/>
      <c r="D250" s="242"/>
      <c r="E250" s="242"/>
      <c r="F250" s="242"/>
      <c r="G250" s="242"/>
      <c r="H250" s="242"/>
      <c r="I250" s="242"/>
      <c r="J250" s="242"/>
      <c r="K250" s="242"/>
      <c r="L250" s="1"/>
      <c r="M250" s="1"/>
      <c r="N250" s="530"/>
      <c r="O250" s="530"/>
      <c r="P250" s="530"/>
      <c r="Q250" s="530"/>
      <c r="R250" s="2"/>
      <c r="S250" s="1"/>
      <c r="T250" s="2"/>
    </row>
    <row r="251" spans="1:20" s="3" customFormat="1" ht="12" customHeight="1">
      <c r="A251" s="299"/>
      <c r="B251" s="242"/>
      <c r="C251" s="242"/>
      <c r="D251" s="242"/>
      <c r="E251" s="242"/>
      <c r="F251" s="242"/>
      <c r="G251" s="242"/>
      <c r="H251" s="242"/>
      <c r="I251" s="242"/>
      <c r="J251" s="242"/>
      <c r="K251" s="242"/>
      <c r="L251" s="1"/>
      <c r="M251" s="1"/>
      <c r="N251" s="530"/>
      <c r="O251" s="530"/>
      <c r="P251" s="530"/>
      <c r="Q251" s="530"/>
      <c r="R251" s="2"/>
      <c r="S251" s="1"/>
      <c r="T251" s="2"/>
    </row>
    <row r="252" spans="1:20" s="3" customFormat="1" ht="12" customHeight="1">
      <c r="A252" s="299"/>
      <c r="B252" s="242"/>
      <c r="C252" s="242"/>
      <c r="D252" s="242"/>
      <c r="E252" s="242"/>
      <c r="F252" s="242"/>
      <c r="G252" s="242"/>
      <c r="H252" s="242"/>
      <c r="I252" s="242"/>
      <c r="J252" s="242"/>
      <c r="K252" s="242"/>
      <c r="L252" s="1"/>
      <c r="M252" s="1"/>
      <c r="N252" s="530"/>
      <c r="O252" s="530"/>
      <c r="P252" s="530"/>
      <c r="Q252" s="530"/>
      <c r="R252" s="2"/>
      <c r="S252" s="1"/>
      <c r="T252" s="2"/>
    </row>
    <row r="253" spans="1:20" s="3" customFormat="1" ht="12" customHeight="1">
      <c r="A253" s="299"/>
      <c r="B253" s="242"/>
      <c r="C253" s="242"/>
      <c r="D253" s="242"/>
      <c r="E253" s="242"/>
      <c r="F253" s="242"/>
      <c r="G253" s="242"/>
      <c r="H253" s="242"/>
      <c r="I253" s="242"/>
      <c r="J253" s="242"/>
      <c r="K253" s="242"/>
      <c r="L253" s="1"/>
      <c r="M253" s="1"/>
      <c r="N253" s="530"/>
      <c r="O253" s="530"/>
      <c r="P253" s="530"/>
      <c r="Q253" s="530"/>
      <c r="R253" s="2"/>
      <c r="S253" s="1"/>
      <c r="T253" s="2"/>
    </row>
    <row r="254" spans="1:20" s="3" customFormat="1" ht="12" customHeight="1">
      <c r="A254" s="299"/>
      <c r="B254" s="242"/>
      <c r="C254" s="242"/>
      <c r="D254" s="242"/>
      <c r="E254" s="242"/>
      <c r="F254" s="242"/>
      <c r="G254" s="242"/>
      <c r="H254" s="242"/>
      <c r="I254" s="242"/>
      <c r="J254" s="242"/>
      <c r="K254" s="242"/>
      <c r="L254" s="1"/>
      <c r="M254" s="1"/>
      <c r="N254" s="530"/>
      <c r="O254" s="530"/>
      <c r="P254" s="530"/>
      <c r="Q254" s="530"/>
      <c r="R254" s="2"/>
      <c r="S254" s="1"/>
      <c r="T254" s="2"/>
    </row>
    <row r="255" spans="1:20" s="3" customFormat="1" ht="12" customHeight="1">
      <c r="A255" s="299"/>
      <c r="B255" s="242"/>
      <c r="C255" s="242"/>
      <c r="D255" s="242"/>
      <c r="E255" s="242"/>
      <c r="F255" s="242"/>
      <c r="G255" s="242"/>
      <c r="H255" s="242"/>
      <c r="I255" s="242"/>
      <c r="J255" s="242"/>
      <c r="K255" s="242"/>
      <c r="L255" s="1"/>
      <c r="M255" s="1"/>
      <c r="N255" s="530"/>
      <c r="O255" s="530"/>
      <c r="P255" s="530"/>
      <c r="Q255" s="530"/>
      <c r="R255" s="2"/>
      <c r="S255" s="1"/>
      <c r="T255" s="2"/>
    </row>
    <row r="256" spans="1:20" s="3" customFormat="1" ht="12" customHeight="1">
      <c r="A256" s="299"/>
      <c r="B256" s="242"/>
      <c r="C256" s="242"/>
      <c r="D256" s="242"/>
      <c r="E256" s="242"/>
      <c r="F256" s="242"/>
      <c r="G256" s="242"/>
      <c r="H256" s="242"/>
      <c r="I256" s="242"/>
      <c r="J256" s="242"/>
      <c r="K256" s="242"/>
      <c r="L256" s="1"/>
      <c r="M256" s="1"/>
      <c r="N256" s="530"/>
      <c r="O256" s="530"/>
      <c r="P256" s="530"/>
      <c r="Q256" s="530"/>
      <c r="R256" s="2"/>
      <c r="S256" s="1"/>
      <c r="T256" s="2"/>
    </row>
    <row r="257" spans="1:20" s="3" customFormat="1" ht="12" customHeight="1">
      <c r="A257" s="299"/>
      <c r="B257" s="242"/>
      <c r="C257" s="242"/>
      <c r="D257" s="242"/>
      <c r="E257" s="242"/>
      <c r="F257" s="242"/>
      <c r="G257" s="242"/>
      <c r="H257" s="242"/>
      <c r="I257" s="242"/>
      <c r="J257" s="242"/>
      <c r="K257" s="242"/>
      <c r="L257" s="1"/>
      <c r="M257" s="1"/>
      <c r="N257" s="530"/>
      <c r="O257" s="530"/>
      <c r="P257" s="530"/>
      <c r="Q257" s="530"/>
      <c r="R257" s="2"/>
      <c r="S257" s="1"/>
      <c r="T257" s="2"/>
    </row>
    <row r="258" spans="1:20" s="3" customFormat="1" ht="12" customHeight="1">
      <c r="A258" s="299"/>
      <c r="B258" s="242"/>
      <c r="C258" s="242"/>
      <c r="D258" s="242"/>
      <c r="E258" s="242"/>
      <c r="F258" s="242"/>
      <c r="G258" s="242"/>
      <c r="H258" s="242"/>
      <c r="I258" s="242"/>
      <c r="J258" s="242"/>
      <c r="K258" s="242"/>
      <c r="L258" s="1"/>
      <c r="M258" s="1"/>
      <c r="N258" s="530"/>
      <c r="O258" s="530"/>
      <c r="P258" s="530"/>
      <c r="Q258" s="530"/>
      <c r="R258" s="2"/>
      <c r="S258" s="1"/>
      <c r="T258" s="2"/>
    </row>
    <row r="259" spans="1:20" s="3" customFormat="1" ht="12" customHeight="1">
      <c r="A259" s="299"/>
      <c r="B259" s="242"/>
      <c r="C259" s="242"/>
      <c r="D259" s="242"/>
      <c r="E259" s="242"/>
      <c r="F259" s="242"/>
      <c r="G259" s="242"/>
      <c r="H259" s="242"/>
      <c r="I259" s="242"/>
      <c r="J259" s="242"/>
      <c r="K259" s="242"/>
      <c r="L259" s="1"/>
      <c r="M259" s="1"/>
      <c r="N259" s="530"/>
      <c r="O259" s="530"/>
      <c r="P259" s="530"/>
      <c r="Q259" s="530"/>
      <c r="R259" s="2"/>
      <c r="S259" s="1"/>
      <c r="T259" s="2"/>
    </row>
    <row r="260" spans="1:20" s="3" customFormat="1" ht="12" customHeight="1">
      <c r="A260" s="299"/>
      <c r="B260" s="242"/>
      <c r="C260" s="242"/>
      <c r="D260" s="242"/>
      <c r="E260" s="242"/>
      <c r="F260" s="242"/>
      <c r="G260" s="242"/>
      <c r="H260" s="242"/>
      <c r="I260" s="242"/>
      <c r="J260" s="242"/>
      <c r="K260" s="242"/>
      <c r="L260" s="1"/>
      <c r="M260" s="1"/>
      <c r="N260" s="530"/>
      <c r="O260" s="530"/>
      <c r="P260" s="530"/>
      <c r="Q260" s="530"/>
      <c r="R260" s="2"/>
      <c r="S260" s="1"/>
      <c r="T260" s="2"/>
    </row>
    <row r="261" spans="1:20" s="3" customFormat="1" ht="12" customHeight="1">
      <c r="A261" s="299"/>
      <c r="B261" s="242"/>
      <c r="C261" s="242"/>
      <c r="D261" s="242"/>
      <c r="E261" s="242"/>
      <c r="F261" s="242"/>
      <c r="G261" s="242"/>
      <c r="H261" s="242"/>
      <c r="I261" s="242"/>
      <c r="J261" s="242"/>
      <c r="K261" s="242"/>
      <c r="L261" s="1"/>
      <c r="M261" s="1"/>
      <c r="N261" s="530"/>
      <c r="O261" s="530"/>
      <c r="P261" s="530"/>
      <c r="Q261" s="530"/>
      <c r="R261" s="2"/>
      <c r="S261" s="1"/>
      <c r="T261" s="2"/>
    </row>
    <row r="262" spans="1:20" s="3" customFormat="1" ht="12" customHeight="1">
      <c r="A262" s="299"/>
      <c r="B262" s="242"/>
      <c r="C262" s="242"/>
      <c r="D262" s="242"/>
      <c r="E262" s="242"/>
      <c r="F262" s="242"/>
      <c r="G262" s="242"/>
      <c r="H262" s="242"/>
      <c r="I262" s="242"/>
      <c r="J262" s="242"/>
      <c r="K262" s="242"/>
      <c r="L262" s="1"/>
      <c r="M262" s="1"/>
      <c r="N262" s="530"/>
      <c r="O262" s="530"/>
      <c r="P262" s="530"/>
      <c r="Q262" s="530"/>
      <c r="R262" s="2"/>
      <c r="S262" s="1"/>
      <c r="T262" s="2"/>
    </row>
    <row r="263" spans="1:20" s="3" customFormat="1" ht="12" customHeight="1">
      <c r="A263" s="299"/>
      <c r="B263" s="242"/>
      <c r="C263" s="242"/>
      <c r="D263" s="242"/>
      <c r="E263" s="242"/>
      <c r="F263" s="242"/>
      <c r="G263" s="242"/>
      <c r="H263" s="242"/>
      <c r="I263" s="242"/>
      <c r="J263" s="242"/>
      <c r="K263" s="242"/>
      <c r="L263" s="1"/>
      <c r="M263" s="1"/>
      <c r="N263" s="530"/>
      <c r="O263" s="530"/>
      <c r="P263" s="530"/>
      <c r="Q263" s="530"/>
      <c r="R263" s="2"/>
      <c r="S263" s="1"/>
      <c r="T263" s="2"/>
    </row>
    <row r="264" spans="1:20" s="3" customFormat="1" ht="12" customHeight="1">
      <c r="A264" s="299"/>
      <c r="B264" s="242"/>
      <c r="C264" s="242"/>
      <c r="D264" s="242"/>
      <c r="E264" s="242"/>
      <c r="F264" s="242"/>
      <c r="G264" s="242"/>
      <c r="H264" s="242"/>
      <c r="I264" s="242"/>
      <c r="J264" s="242"/>
      <c r="K264" s="242"/>
      <c r="L264" s="1"/>
      <c r="M264" s="1"/>
      <c r="N264" s="530"/>
      <c r="O264" s="530"/>
      <c r="P264" s="530"/>
      <c r="Q264" s="530"/>
      <c r="R264" s="2"/>
      <c r="S264" s="1"/>
      <c r="T264" s="2"/>
    </row>
    <row r="265" spans="1:20" s="3" customFormat="1" ht="12" customHeight="1">
      <c r="A265" s="299"/>
      <c r="B265" s="242"/>
      <c r="C265" s="242"/>
      <c r="D265" s="242"/>
      <c r="E265" s="242"/>
      <c r="F265" s="242"/>
      <c r="G265" s="242"/>
      <c r="H265" s="242"/>
      <c r="I265" s="242"/>
      <c r="J265" s="242"/>
      <c r="K265" s="242"/>
      <c r="L265" s="1"/>
      <c r="M265" s="1"/>
      <c r="N265" s="530"/>
      <c r="O265" s="530"/>
      <c r="P265" s="530"/>
      <c r="Q265" s="530"/>
      <c r="R265" s="2"/>
      <c r="S265" s="1"/>
      <c r="T265" s="2"/>
    </row>
    <row r="266" spans="1:20" s="3" customFormat="1" ht="12" customHeight="1">
      <c r="A266" s="299"/>
      <c r="B266" s="242"/>
      <c r="C266" s="242"/>
      <c r="D266" s="242"/>
      <c r="E266" s="242"/>
      <c r="F266" s="242"/>
      <c r="G266" s="242"/>
      <c r="H266" s="242"/>
      <c r="I266" s="242"/>
      <c r="J266" s="242"/>
      <c r="K266" s="242"/>
      <c r="L266" s="1"/>
      <c r="M266" s="1"/>
      <c r="N266" s="530"/>
      <c r="O266" s="530"/>
      <c r="P266" s="530"/>
      <c r="Q266" s="530"/>
      <c r="R266" s="2"/>
      <c r="S266" s="1"/>
      <c r="T266" s="2"/>
    </row>
    <row r="267" spans="1:20" s="3" customFormat="1" ht="12" customHeight="1">
      <c r="A267" s="299"/>
      <c r="B267" s="242"/>
      <c r="C267" s="242"/>
      <c r="D267" s="242"/>
      <c r="E267" s="242"/>
      <c r="F267" s="242"/>
      <c r="G267" s="242"/>
      <c r="H267" s="242"/>
      <c r="I267" s="242"/>
      <c r="J267" s="242"/>
      <c r="K267" s="242"/>
      <c r="L267" s="1"/>
      <c r="M267" s="1"/>
      <c r="N267" s="530"/>
      <c r="O267" s="530"/>
      <c r="P267" s="530"/>
      <c r="Q267" s="530"/>
      <c r="R267" s="2"/>
      <c r="S267" s="1"/>
      <c r="T267" s="2"/>
    </row>
    <row r="268" spans="1:20" s="3" customFormat="1" ht="12" customHeight="1">
      <c r="A268" s="299"/>
      <c r="B268" s="242"/>
      <c r="C268" s="242"/>
      <c r="D268" s="242"/>
      <c r="E268" s="242"/>
      <c r="F268" s="242"/>
      <c r="G268" s="242"/>
      <c r="H268" s="242"/>
      <c r="I268" s="242"/>
      <c r="J268" s="242"/>
      <c r="K268" s="242"/>
      <c r="L268" s="1"/>
      <c r="M268" s="1"/>
      <c r="N268" s="530"/>
      <c r="O268" s="530"/>
      <c r="P268" s="530"/>
      <c r="Q268" s="530"/>
      <c r="R268" s="2"/>
      <c r="S268" s="1"/>
      <c r="T268" s="2"/>
    </row>
    <row r="269" spans="1:20" s="3" customFormat="1" ht="12" customHeight="1">
      <c r="A269" s="299"/>
      <c r="B269" s="242"/>
      <c r="C269" s="242"/>
      <c r="D269" s="242"/>
      <c r="E269" s="242"/>
      <c r="F269" s="242"/>
      <c r="G269" s="242"/>
      <c r="H269" s="242"/>
      <c r="I269" s="242"/>
      <c r="J269" s="242"/>
      <c r="K269" s="242"/>
      <c r="L269" s="1"/>
      <c r="M269" s="1"/>
      <c r="N269" s="530"/>
      <c r="O269" s="530"/>
      <c r="P269" s="530"/>
      <c r="Q269" s="530"/>
      <c r="R269" s="2"/>
      <c r="S269" s="1"/>
      <c r="T269" s="2"/>
    </row>
    <row r="270" spans="1:20" s="3" customFormat="1" ht="12" customHeight="1">
      <c r="A270" s="299"/>
      <c r="B270" s="242"/>
      <c r="C270" s="242"/>
      <c r="D270" s="242"/>
      <c r="E270" s="242"/>
      <c r="F270" s="242"/>
      <c r="G270" s="242"/>
      <c r="H270" s="242"/>
      <c r="I270" s="242"/>
      <c r="J270" s="242"/>
      <c r="K270" s="242"/>
      <c r="L270" s="1"/>
      <c r="M270" s="1"/>
      <c r="N270" s="530"/>
      <c r="O270" s="530"/>
      <c r="P270" s="530"/>
      <c r="Q270" s="530"/>
      <c r="R270" s="2"/>
      <c r="S270" s="1"/>
      <c r="T270" s="2"/>
    </row>
    <row r="271" spans="1:20" s="3" customFormat="1" ht="12" customHeight="1">
      <c r="A271" s="299"/>
      <c r="B271" s="242"/>
      <c r="C271" s="242"/>
      <c r="D271" s="242"/>
      <c r="E271" s="242"/>
      <c r="F271" s="242"/>
      <c r="G271" s="242"/>
      <c r="H271" s="242"/>
      <c r="I271" s="242"/>
      <c r="J271" s="242"/>
      <c r="K271" s="242"/>
      <c r="L271" s="1"/>
      <c r="M271" s="1"/>
      <c r="N271" s="530"/>
      <c r="O271" s="530"/>
      <c r="P271" s="530"/>
      <c r="Q271" s="530"/>
      <c r="R271" s="2"/>
      <c r="S271" s="1"/>
      <c r="T271" s="2"/>
    </row>
    <row r="272" spans="1:20" s="3" customFormat="1" ht="12" customHeight="1">
      <c r="A272" s="299"/>
      <c r="B272" s="242"/>
      <c r="C272" s="242"/>
      <c r="D272" s="242"/>
      <c r="E272" s="242"/>
      <c r="F272" s="242"/>
      <c r="G272" s="242"/>
      <c r="H272" s="242"/>
      <c r="I272" s="242"/>
      <c r="J272" s="242"/>
      <c r="K272" s="242"/>
      <c r="L272" s="1"/>
      <c r="M272" s="1"/>
      <c r="N272" s="530"/>
      <c r="O272" s="530"/>
      <c r="P272" s="530"/>
      <c r="Q272" s="530"/>
      <c r="R272" s="2"/>
      <c r="S272" s="1"/>
      <c r="T272" s="2"/>
    </row>
    <row r="273" spans="1:20" s="3" customFormat="1" ht="12" customHeight="1">
      <c r="A273" s="299"/>
      <c r="B273" s="242"/>
      <c r="C273" s="242"/>
      <c r="D273" s="242"/>
      <c r="E273" s="242"/>
      <c r="F273" s="242"/>
      <c r="G273" s="242"/>
      <c r="H273" s="242"/>
      <c r="I273" s="242"/>
      <c r="J273" s="242"/>
      <c r="K273" s="242"/>
      <c r="L273" s="1"/>
      <c r="M273" s="1"/>
      <c r="N273" s="530"/>
      <c r="O273" s="530"/>
      <c r="P273" s="530"/>
      <c r="Q273" s="530"/>
      <c r="R273" s="2"/>
      <c r="S273" s="1"/>
      <c r="T273" s="2"/>
    </row>
    <row r="274" spans="1:20" s="3" customFormat="1" ht="12" customHeight="1">
      <c r="A274" s="299"/>
      <c r="B274" s="242"/>
      <c r="C274" s="242"/>
      <c r="D274" s="242"/>
      <c r="E274" s="242"/>
      <c r="F274" s="242"/>
      <c r="G274" s="242"/>
      <c r="H274" s="242"/>
      <c r="I274" s="242"/>
      <c r="J274" s="242"/>
      <c r="K274" s="242"/>
      <c r="L274" s="1"/>
      <c r="M274" s="1"/>
      <c r="N274" s="530"/>
      <c r="O274" s="530"/>
      <c r="P274" s="530"/>
      <c r="Q274" s="530"/>
      <c r="R274" s="2"/>
      <c r="S274" s="1"/>
      <c r="T274" s="2"/>
    </row>
    <row r="275" spans="1:20" s="3" customFormat="1" ht="12" customHeight="1">
      <c r="A275" s="299"/>
      <c r="B275" s="242"/>
      <c r="C275" s="242"/>
      <c r="D275" s="242"/>
      <c r="E275" s="242"/>
      <c r="F275" s="242"/>
      <c r="G275" s="242"/>
      <c r="H275" s="242"/>
      <c r="I275" s="242"/>
      <c r="J275" s="242"/>
      <c r="K275" s="242"/>
      <c r="L275" s="1"/>
      <c r="M275" s="1"/>
      <c r="N275" s="530"/>
      <c r="O275" s="530"/>
      <c r="P275" s="530"/>
      <c r="Q275" s="530"/>
      <c r="R275" s="2"/>
      <c r="S275" s="1"/>
      <c r="T275" s="2"/>
    </row>
    <row r="276" spans="1:20" s="3" customFormat="1" ht="12" customHeight="1">
      <c r="A276" s="299"/>
      <c r="B276" s="242"/>
      <c r="C276" s="242"/>
      <c r="D276" s="242"/>
      <c r="E276" s="242"/>
      <c r="F276" s="242"/>
      <c r="G276" s="242"/>
      <c r="H276" s="242"/>
      <c r="I276" s="242"/>
      <c r="J276" s="242"/>
      <c r="K276" s="242"/>
      <c r="L276" s="1"/>
      <c r="M276" s="1"/>
      <c r="N276" s="530"/>
      <c r="O276" s="530"/>
      <c r="P276" s="530"/>
      <c r="Q276" s="530"/>
      <c r="R276" s="2"/>
      <c r="S276" s="1"/>
      <c r="T276" s="2"/>
    </row>
    <row r="277" spans="1:20" s="3" customFormat="1" ht="12" customHeight="1">
      <c r="A277" s="299"/>
      <c r="B277" s="242"/>
      <c r="C277" s="242"/>
      <c r="D277" s="242"/>
      <c r="E277" s="242"/>
      <c r="F277" s="242"/>
      <c r="G277" s="242"/>
      <c r="H277" s="242"/>
      <c r="I277" s="242"/>
      <c r="J277" s="242"/>
      <c r="K277" s="242"/>
      <c r="L277" s="1"/>
      <c r="M277" s="1"/>
      <c r="N277" s="530"/>
      <c r="O277" s="530"/>
      <c r="P277" s="530"/>
      <c r="Q277" s="530"/>
      <c r="R277" s="2"/>
      <c r="S277" s="1"/>
      <c r="T277" s="2"/>
    </row>
    <row r="278" spans="1:20" s="3" customFormat="1" ht="12" customHeight="1">
      <c r="A278" s="299"/>
      <c r="B278" s="242"/>
      <c r="C278" s="242"/>
      <c r="D278" s="242"/>
      <c r="E278" s="242"/>
      <c r="F278" s="242"/>
      <c r="G278" s="242"/>
      <c r="H278" s="242"/>
      <c r="I278" s="242"/>
      <c r="J278" s="242"/>
      <c r="K278" s="242"/>
      <c r="L278" s="1"/>
      <c r="M278" s="1"/>
      <c r="N278" s="530"/>
      <c r="O278" s="530"/>
      <c r="P278" s="530"/>
      <c r="Q278" s="530"/>
      <c r="R278" s="2"/>
      <c r="S278" s="1"/>
      <c r="T278" s="2"/>
    </row>
    <row r="279" spans="1:20" s="3" customFormat="1" ht="12" customHeight="1">
      <c r="A279" s="299"/>
      <c r="B279" s="242"/>
      <c r="C279" s="242"/>
      <c r="D279" s="242"/>
      <c r="E279" s="242"/>
      <c r="F279" s="242"/>
      <c r="G279" s="242"/>
      <c r="H279" s="242"/>
      <c r="I279" s="242"/>
      <c r="J279" s="242"/>
      <c r="K279" s="242"/>
      <c r="L279" s="1"/>
      <c r="M279" s="1"/>
      <c r="N279" s="530"/>
      <c r="O279" s="530"/>
      <c r="P279" s="530"/>
      <c r="Q279" s="530"/>
      <c r="R279" s="2"/>
      <c r="S279" s="1"/>
      <c r="T279" s="2"/>
    </row>
    <row r="280" spans="1:20" s="3" customFormat="1" ht="12" customHeight="1">
      <c r="A280" s="299"/>
      <c r="B280" s="242"/>
      <c r="C280" s="242"/>
      <c r="D280" s="242"/>
      <c r="E280" s="242"/>
      <c r="F280" s="242"/>
      <c r="G280" s="242"/>
      <c r="H280" s="242"/>
      <c r="I280" s="242"/>
      <c r="J280" s="242"/>
      <c r="K280" s="242"/>
      <c r="L280" s="1"/>
      <c r="M280" s="1"/>
      <c r="N280" s="530"/>
      <c r="O280" s="530"/>
      <c r="P280" s="530"/>
      <c r="Q280" s="530"/>
      <c r="R280" s="2"/>
      <c r="S280" s="1"/>
      <c r="T280" s="2"/>
    </row>
    <row r="281" spans="1:20" s="3" customFormat="1" ht="12" customHeight="1">
      <c r="A281" s="299"/>
      <c r="B281" s="242"/>
      <c r="C281" s="242"/>
      <c r="D281" s="242"/>
      <c r="E281" s="242"/>
      <c r="F281" s="242"/>
      <c r="G281" s="242"/>
      <c r="H281" s="242"/>
      <c r="I281" s="242"/>
      <c r="J281" s="242"/>
      <c r="K281" s="242"/>
      <c r="L281" s="1"/>
      <c r="M281" s="1"/>
      <c r="N281" s="530"/>
      <c r="O281" s="530"/>
      <c r="P281" s="530"/>
      <c r="Q281" s="530"/>
      <c r="R281" s="2"/>
      <c r="S281" s="1"/>
      <c r="T281" s="2"/>
    </row>
    <row r="282" spans="1:20" s="3" customFormat="1" ht="12" customHeight="1">
      <c r="A282" s="299"/>
      <c r="B282" s="242"/>
      <c r="C282" s="242"/>
      <c r="D282" s="242"/>
      <c r="E282" s="242"/>
      <c r="F282" s="242"/>
      <c r="G282" s="242"/>
      <c r="H282" s="242"/>
      <c r="I282" s="242"/>
      <c r="J282" s="242"/>
      <c r="K282" s="242"/>
      <c r="L282" s="1"/>
      <c r="M282" s="1"/>
      <c r="N282" s="530"/>
      <c r="O282" s="530"/>
      <c r="P282" s="530"/>
      <c r="Q282" s="530"/>
      <c r="R282" s="2"/>
      <c r="S282" s="1"/>
      <c r="T282" s="2"/>
    </row>
    <row r="283" spans="1:20" s="3" customFormat="1" ht="12" customHeight="1">
      <c r="A283" s="299"/>
      <c r="B283" s="242"/>
      <c r="C283" s="242"/>
      <c r="D283" s="242"/>
      <c r="E283" s="242"/>
      <c r="F283" s="242"/>
      <c r="G283" s="242"/>
      <c r="H283" s="242"/>
      <c r="I283" s="242"/>
      <c r="J283" s="242"/>
      <c r="K283" s="242"/>
      <c r="L283" s="1"/>
      <c r="M283" s="1"/>
      <c r="N283" s="530"/>
      <c r="O283" s="530"/>
      <c r="P283" s="530"/>
      <c r="Q283" s="530"/>
      <c r="R283" s="2"/>
      <c r="S283" s="1"/>
      <c r="T283" s="2"/>
    </row>
    <row r="284" spans="1:20" s="3" customFormat="1" ht="12" customHeight="1">
      <c r="A284" s="299"/>
      <c r="B284" s="242"/>
      <c r="C284" s="242"/>
      <c r="D284" s="242"/>
      <c r="E284" s="242"/>
      <c r="F284" s="242"/>
      <c r="G284" s="242"/>
      <c r="H284" s="242"/>
      <c r="I284" s="242"/>
      <c r="J284" s="242"/>
      <c r="K284" s="242"/>
      <c r="L284" s="1"/>
      <c r="M284" s="1"/>
      <c r="N284" s="530"/>
      <c r="O284" s="530"/>
      <c r="P284" s="530"/>
      <c r="Q284" s="530"/>
      <c r="R284" s="2"/>
      <c r="S284" s="1"/>
      <c r="T284" s="2"/>
    </row>
    <row r="285" spans="1:20" s="3" customFormat="1" ht="12" customHeight="1">
      <c r="A285" s="299"/>
      <c r="B285" s="242"/>
      <c r="C285" s="242"/>
      <c r="D285" s="242"/>
      <c r="E285" s="242"/>
      <c r="F285" s="242"/>
      <c r="G285" s="242"/>
      <c r="H285" s="242"/>
      <c r="I285" s="242"/>
      <c r="J285" s="242"/>
      <c r="K285" s="242"/>
      <c r="L285" s="1"/>
      <c r="M285" s="1"/>
      <c r="N285" s="530"/>
      <c r="O285" s="530"/>
      <c r="P285" s="530"/>
      <c r="Q285" s="530"/>
      <c r="R285" s="2"/>
      <c r="S285" s="1"/>
      <c r="T285" s="2"/>
    </row>
    <row r="286" spans="1:20" s="3" customFormat="1" ht="12" customHeight="1">
      <c r="A286" s="299"/>
      <c r="B286" s="242"/>
      <c r="C286" s="242"/>
      <c r="D286" s="242"/>
      <c r="E286" s="242"/>
      <c r="F286" s="242"/>
      <c r="G286" s="242"/>
      <c r="H286" s="242"/>
      <c r="I286" s="242"/>
      <c r="J286" s="242"/>
      <c r="K286" s="242"/>
      <c r="L286" s="1"/>
      <c r="M286" s="1"/>
      <c r="N286" s="530"/>
      <c r="O286" s="530"/>
      <c r="P286" s="530"/>
      <c r="Q286" s="530"/>
      <c r="R286" s="2"/>
      <c r="S286" s="1"/>
      <c r="T286" s="2"/>
    </row>
    <row r="287" spans="1:20" s="3" customFormat="1" ht="12" customHeight="1">
      <c r="A287" s="299"/>
      <c r="B287" s="242"/>
      <c r="C287" s="242"/>
      <c r="D287" s="242"/>
      <c r="E287" s="242"/>
      <c r="F287" s="242"/>
      <c r="G287" s="242"/>
      <c r="H287" s="242"/>
      <c r="I287" s="242"/>
      <c r="J287" s="242"/>
      <c r="K287" s="242"/>
      <c r="L287" s="1"/>
      <c r="M287" s="1"/>
      <c r="N287" s="530"/>
      <c r="O287" s="530"/>
      <c r="P287" s="530"/>
      <c r="Q287" s="530"/>
      <c r="R287" s="2"/>
      <c r="S287" s="1"/>
      <c r="T287" s="2"/>
    </row>
    <row r="288" spans="1:20" s="3" customFormat="1" ht="12" customHeight="1">
      <c r="A288" s="299"/>
      <c r="B288" s="242"/>
      <c r="C288" s="242"/>
      <c r="D288" s="242"/>
      <c r="E288" s="242"/>
      <c r="F288" s="242"/>
      <c r="G288" s="242"/>
      <c r="H288" s="242"/>
      <c r="I288" s="242"/>
      <c r="J288" s="242"/>
      <c r="K288" s="242"/>
      <c r="L288" s="1"/>
      <c r="M288" s="1"/>
      <c r="N288" s="530"/>
      <c r="O288" s="530"/>
      <c r="P288" s="530"/>
      <c r="Q288" s="530"/>
      <c r="R288" s="2"/>
      <c r="S288" s="1"/>
      <c r="T288" s="2"/>
    </row>
    <row r="289" spans="1:20" s="3" customFormat="1" ht="12" customHeight="1">
      <c r="A289" s="299"/>
      <c r="B289" s="242"/>
      <c r="C289" s="242"/>
      <c r="D289" s="242"/>
      <c r="E289" s="242"/>
      <c r="F289" s="242"/>
      <c r="G289" s="242"/>
      <c r="H289" s="242"/>
      <c r="I289" s="242"/>
      <c r="J289" s="242"/>
      <c r="K289" s="242"/>
      <c r="L289" s="1"/>
      <c r="M289" s="1"/>
      <c r="N289" s="530"/>
      <c r="O289" s="530"/>
      <c r="P289" s="530"/>
      <c r="Q289" s="530"/>
      <c r="R289" s="2"/>
      <c r="S289" s="1"/>
      <c r="T289" s="2"/>
    </row>
    <row r="290" spans="1:20" s="3" customFormat="1" ht="12" customHeight="1">
      <c r="A290" s="299"/>
      <c r="B290" s="242"/>
      <c r="C290" s="242"/>
      <c r="D290" s="242"/>
      <c r="E290" s="242"/>
      <c r="F290" s="242"/>
      <c r="G290" s="242"/>
      <c r="H290" s="242"/>
      <c r="I290" s="242"/>
      <c r="J290" s="242"/>
      <c r="K290" s="242"/>
      <c r="L290" s="1"/>
      <c r="M290" s="1"/>
      <c r="N290" s="530"/>
      <c r="O290" s="530"/>
      <c r="P290" s="530"/>
      <c r="Q290" s="530"/>
      <c r="R290" s="2"/>
      <c r="S290" s="1"/>
      <c r="T290" s="2"/>
    </row>
    <row r="291" spans="1:20" s="3" customFormat="1" ht="12" customHeight="1">
      <c r="A291" s="299"/>
      <c r="B291" s="242"/>
      <c r="C291" s="242"/>
      <c r="D291" s="242"/>
      <c r="E291" s="242"/>
      <c r="F291" s="242"/>
      <c r="G291" s="242"/>
      <c r="H291" s="242"/>
      <c r="I291" s="242"/>
      <c r="J291" s="242"/>
      <c r="K291" s="242"/>
      <c r="L291" s="1"/>
      <c r="M291" s="1"/>
      <c r="N291" s="530"/>
      <c r="O291" s="530"/>
      <c r="P291" s="530"/>
      <c r="Q291" s="530"/>
      <c r="R291" s="2"/>
      <c r="S291" s="1"/>
      <c r="T291" s="2"/>
    </row>
    <row r="292" spans="1:20" s="3" customFormat="1" ht="12" customHeight="1">
      <c r="B292" s="1"/>
      <c r="C292" s="1"/>
      <c r="D292" s="1"/>
      <c r="E292" s="1"/>
      <c r="F292" s="1"/>
      <c r="G292" s="1"/>
      <c r="H292" s="1"/>
      <c r="I292" s="1"/>
      <c r="J292" s="1"/>
      <c r="K292" s="1"/>
      <c r="L292" s="1"/>
      <c r="M292" s="1"/>
      <c r="N292" s="530"/>
      <c r="O292" s="530"/>
      <c r="P292" s="530"/>
      <c r="Q292" s="530"/>
      <c r="R292" s="2"/>
      <c r="S292" s="1"/>
      <c r="T292" s="2"/>
    </row>
    <row r="293" spans="1:20" s="3" customFormat="1" ht="12" customHeight="1">
      <c r="B293" s="1"/>
      <c r="C293" s="1"/>
      <c r="D293" s="1"/>
      <c r="E293" s="1"/>
      <c r="F293" s="1"/>
      <c r="G293" s="1"/>
      <c r="H293" s="1"/>
      <c r="I293" s="1"/>
      <c r="J293" s="1"/>
      <c r="K293" s="1"/>
      <c r="L293" s="1"/>
      <c r="M293" s="1"/>
      <c r="N293" s="530"/>
      <c r="O293" s="530"/>
      <c r="P293" s="530"/>
      <c r="Q293" s="530"/>
      <c r="R293" s="2"/>
      <c r="S293" s="1"/>
      <c r="T293" s="2"/>
    </row>
    <row r="294" spans="1:20" s="3" customFormat="1" ht="12" customHeight="1">
      <c r="B294" s="1"/>
      <c r="C294" s="1"/>
      <c r="D294" s="1"/>
      <c r="E294" s="1"/>
      <c r="F294" s="1"/>
      <c r="G294" s="1"/>
      <c r="H294" s="1"/>
      <c r="I294" s="1"/>
      <c r="J294" s="1"/>
      <c r="K294" s="1"/>
      <c r="L294" s="1"/>
      <c r="M294" s="1"/>
      <c r="N294" s="530"/>
      <c r="O294" s="530"/>
      <c r="P294" s="530"/>
      <c r="Q294" s="530"/>
      <c r="R294" s="2"/>
      <c r="S294" s="1"/>
      <c r="T294" s="2"/>
    </row>
    <row r="295" spans="1:20" s="3" customFormat="1" ht="12" customHeight="1">
      <c r="B295" s="1"/>
      <c r="C295" s="1"/>
      <c r="D295" s="1"/>
      <c r="E295" s="1"/>
      <c r="F295" s="1"/>
      <c r="G295" s="1"/>
      <c r="H295" s="1"/>
      <c r="I295" s="1"/>
      <c r="J295" s="1"/>
      <c r="K295" s="1"/>
      <c r="L295" s="1"/>
      <c r="M295" s="1"/>
      <c r="N295" s="530"/>
      <c r="O295" s="530"/>
      <c r="P295" s="530"/>
      <c r="Q295" s="530"/>
      <c r="R295" s="2"/>
      <c r="S295" s="1"/>
      <c r="T295" s="2"/>
    </row>
    <row r="296" spans="1:20" s="3" customFormat="1" ht="12" customHeight="1">
      <c r="B296" s="1"/>
      <c r="C296" s="1"/>
      <c r="D296" s="1"/>
      <c r="E296" s="1"/>
      <c r="F296" s="1"/>
      <c r="G296" s="1"/>
      <c r="H296" s="1"/>
      <c r="I296" s="1"/>
      <c r="J296" s="1"/>
      <c r="K296" s="1"/>
      <c r="L296" s="1"/>
      <c r="M296" s="1"/>
      <c r="N296" s="530"/>
      <c r="O296" s="530"/>
      <c r="P296" s="530"/>
      <c r="Q296" s="530"/>
      <c r="R296" s="2"/>
      <c r="S296" s="1"/>
      <c r="T296" s="2"/>
    </row>
    <row r="297" spans="1:20" s="3" customFormat="1" ht="12" customHeight="1">
      <c r="B297" s="1"/>
      <c r="C297" s="1"/>
      <c r="D297" s="1"/>
      <c r="E297" s="1"/>
      <c r="F297" s="1"/>
      <c r="G297" s="1"/>
      <c r="H297" s="1"/>
      <c r="I297" s="1"/>
      <c r="J297" s="1"/>
      <c r="K297" s="1"/>
      <c r="L297" s="1"/>
      <c r="M297" s="1"/>
      <c r="N297" s="530"/>
      <c r="O297" s="530"/>
      <c r="P297" s="530"/>
      <c r="Q297" s="530"/>
      <c r="R297" s="2"/>
      <c r="S297" s="1"/>
      <c r="T297" s="2"/>
    </row>
    <row r="298" spans="1:20" s="3" customFormat="1" ht="12" customHeight="1">
      <c r="B298" s="1"/>
      <c r="C298" s="1"/>
      <c r="D298" s="1"/>
      <c r="E298" s="1"/>
      <c r="F298" s="1"/>
      <c r="G298" s="1"/>
      <c r="H298" s="1"/>
      <c r="I298" s="1"/>
      <c r="J298" s="1"/>
      <c r="K298" s="1"/>
      <c r="L298" s="1"/>
      <c r="M298" s="1"/>
      <c r="N298" s="530"/>
      <c r="O298" s="530"/>
      <c r="P298" s="530"/>
      <c r="Q298" s="530"/>
      <c r="R298" s="2"/>
      <c r="S298" s="1"/>
      <c r="T298" s="2"/>
    </row>
    <row r="299" spans="1:20" s="3" customFormat="1" ht="12" customHeight="1">
      <c r="B299" s="1"/>
      <c r="C299" s="1"/>
      <c r="D299" s="1"/>
      <c r="E299" s="1"/>
      <c r="F299" s="1"/>
      <c r="G299" s="1"/>
      <c r="H299" s="1"/>
      <c r="I299" s="1"/>
      <c r="J299" s="1"/>
      <c r="K299" s="1"/>
      <c r="L299" s="1"/>
      <c r="M299" s="1"/>
      <c r="N299" s="530"/>
      <c r="O299" s="530"/>
      <c r="P299" s="530"/>
      <c r="Q299" s="530"/>
      <c r="R299" s="2"/>
      <c r="S299" s="1"/>
      <c r="T299" s="2"/>
    </row>
    <row r="300" spans="1:20" s="3" customFormat="1" ht="12" customHeight="1">
      <c r="B300" s="1"/>
      <c r="C300" s="1"/>
      <c r="D300" s="1"/>
      <c r="E300" s="1"/>
      <c r="F300" s="1"/>
      <c r="G300" s="1"/>
      <c r="H300" s="1"/>
      <c r="I300" s="1"/>
      <c r="J300" s="1"/>
      <c r="K300" s="1"/>
      <c r="L300" s="1"/>
      <c r="M300" s="1"/>
      <c r="N300" s="530"/>
      <c r="O300" s="530"/>
      <c r="P300" s="530"/>
      <c r="Q300" s="530"/>
      <c r="R300" s="2"/>
      <c r="S300" s="1"/>
      <c r="T300" s="2"/>
    </row>
    <row r="301" spans="1:20" s="3" customFormat="1" ht="12" customHeight="1">
      <c r="B301" s="1"/>
      <c r="C301" s="1"/>
      <c r="D301" s="1"/>
      <c r="E301" s="1"/>
      <c r="F301" s="1"/>
      <c r="G301" s="1"/>
      <c r="H301" s="1"/>
      <c r="I301" s="1"/>
      <c r="J301" s="1"/>
      <c r="K301" s="1"/>
      <c r="L301" s="1"/>
      <c r="M301" s="1"/>
      <c r="N301" s="530"/>
      <c r="O301" s="530"/>
      <c r="P301" s="530"/>
      <c r="Q301" s="530"/>
      <c r="R301" s="2"/>
      <c r="S301" s="1"/>
      <c r="T301" s="2"/>
    </row>
    <row r="302" spans="1:20" s="3" customFormat="1" ht="12" customHeight="1">
      <c r="B302" s="1"/>
      <c r="C302" s="1"/>
      <c r="D302" s="1"/>
      <c r="E302" s="1"/>
      <c r="F302" s="1"/>
      <c r="G302" s="1"/>
      <c r="H302" s="1"/>
      <c r="I302" s="1"/>
      <c r="J302" s="1"/>
      <c r="K302" s="1"/>
      <c r="L302" s="1"/>
      <c r="M302" s="1"/>
      <c r="N302" s="530"/>
      <c r="O302" s="530"/>
      <c r="P302" s="530"/>
      <c r="Q302" s="530"/>
      <c r="R302" s="2"/>
      <c r="S302" s="1"/>
      <c r="T302" s="2"/>
    </row>
    <row r="303" spans="1:20" s="3" customFormat="1" ht="12" customHeight="1">
      <c r="B303" s="1"/>
      <c r="C303" s="1"/>
      <c r="D303" s="1"/>
      <c r="E303" s="1"/>
      <c r="F303" s="1"/>
      <c r="G303" s="1"/>
      <c r="H303" s="1"/>
      <c r="I303" s="1"/>
      <c r="J303" s="1"/>
      <c r="K303" s="1"/>
      <c r="L303" s="1"/>
      <c r="M303" s="1"/>
      <c r="N303" s="530"/>
      <c r="O303" s="530"/>
      <c r="P303" s="530"/>
      <c r="Q303" s="530"/>
      <c r="R303" s="2"/>
      <c r="S303" s="1"/>
      <c r="T303" s="2"/>
    </row>
    <row r="304" spans="1:20" s="3" customFormat="1" ht="12" customHeight="1">
      <c r="B304" s="1"/>
      <c r="C304" s="1"/>
      <c r="D304" s="1"/>
      <c r="E304" s="1"/>
      <c r="F304" s="1"/>
      <c r="G304" s="1"/>
      <c r="H304" s="1"/>
      <c r="I304" s="1"/>
      <c r="J304" s="1"/>
      <c r="K304" s="1"/>
      <c r="L304" s="1"/>
      <c r="M304" s="1"/>
      <c r="N304" s="530"/>
      <c r="O304" s="530"/>
      <c r="P304" s="530"/>
      <c r="Q304" s="530"/>
      <c r="R304" s="2"/>
      <c r="S304" s="1"/>
      <c r="T304" s="2"/>
    </row>
    <row r="305" spans="2:20" s="3" customFormat="1" ht="12" customHeight="1">
      <c r="B305" s="1"/>
      <c r="C305" s="1"/>
      <c r="D305" s="1"/>
      <c r="E305" s="1"/>
      <c r="F305" s="1"/>
      <c r="G305" s="1"/>
      <c r="H305" s="1"/>
      <c r="I305" s="1"/>
      <c r="J305" s="1"/>
      <c r="K305" s="1"/>
      <c r="L305" s="1"/>
      <c r="M305" s="1"/>
      <c r="N305" s="530"/>
      <c r="O305" s="530"/>
      <c r="P305" s="530"/>
      <c r="Q305" s="530"/>
      <c r="R305" s="2"/>
      <c r="S305" s="1"/>
      <c r="T305" s="2"/>
    </row>
    <row r="306" spans="2:20" s="3" customFormat="1" ht="12" customHeight="1">
      <c r="B306" s="1"/>
      <c r="C306" s="1"/>
      <c r="D306" s="1"/>
      <c r="E306" s="1"/>
      <c r="F306" s="1"/>
      <c r="G306" s="1"/>
      <c r="H306" s="1"/>
      <c r="I306" s="1"/>
      <c r="J306" s="1"/>
      <c r="K306" s="1"/>
      <c r="L306" s="1"/>
      <c r="M306" s="1"/>
      <c r="N306" s="530"/>
      <c r="O306" s="530"/>
      <c r="P306" s="530"/>
      <c r="Q306" s="530"/>
      <c r="R306" s="2"/>
      <c r="S306" s="1"/>
      <c r="T306" s="2"/>
    </row>
    <row r="307" spans="2:20" s="3" customFormat="1" ht="12" customHeight="1">
      <c r="B307" s="1"/>
      <c r="C307" s="1"/>
      <c r="D307" s="1"/>
      <c r="E307" s="1"/>
      <c r="F307" s="1"/>
      <c r="G307" s="1"/>
      <c r="H307" s="1"/>
      <c r="I307" s="1"/>
      <c r="J307" s="1"/>
      <c r="K307" s="1"/>
      <c r="L307" s="1"/>
      <c r="M307" s="1"/>
      <c r="N307" s="530"/>
      <c r="O307" s="530"/>
      <c r="P307" s="530"/>
      <c r="Q307" s="530"/>
      <c r="R307" s="2"/>
      <c r="S307" s="1"/>
      <c r="T307" s="2"/>
    </row>
    <row r="308" spans="2:20" s="3" customFormat="1" ht="12" customHeight="1">
      <c r="B308" s="1"/>
      <c r="C308" s="1"/>
      <c r="D308" s="1"/>
      <c r="E308" s="1"/>
      <c r="F308" s="1"/>
      <c r="G308" s="1"/>
      <c r="H308" s="1"/>
      <c r="I308" s="1"/>
      <c r="J308" s="1"/>
      <c r="K308" s="1"/>
      <c r="L308" s="1"/>
      <c r="M308" s="1"/>
      <c r="N308" s="530"/>
      <c r="O308" s="530"/>
      <c r="P308" s="530"/>
      <c r="Q308" s="530"/>
      <c r="R308" s="2"/>
      <c r="S308" s="1"/>
      <c r="T308" s="2"/>
    </row>
    <row r="309" spans="2:20" s="3" customFormat="1" ht="12" customHeight="1">
      <c r="B309" s="1"/>
      <c r="C309" s="1"/>
      <c r="D309" s="1"/>
      <c r="E309" s="1"/>
      <c r="F309" s="1"/>
      <c r="G309" s="1"/>
      <c r="H309" s="1"/>
      <c r="I309" s="1"/>
      <c r="J309" s="1"/>
      <c r="K309" s="1"/>
      <c r="L309" s="1"/>
      <c r="M309" s="1"/>
      <c r="N309" s="530"/>
      <c r="O309" s="530"/>
      <c r="P309" s="530"/>
      <c r="Q309" s="530"/>
      <c r="R309" s="2"/>
      <c r="S309" s="1"/>
      <c r="T309" s="2"/>
    </row>
    <row r="310" spans="2:20" s="3" customFormat="1" ht="12" customHeight="1">
      <c r="B310" s="1"/>
      <c r="C310" s="1"/>
      <c r="D310" s="1"/>
      <c r="E310" s="1"/>
      <c r="F310" s="1"/>
      <c r="G310" s="1"/>
      <c r="H310" s="1"/>
      <c r="I310" s="1"/>
      <c r="J310" s="1"/>
      <c r="K310" s="1"/>
      <c r="L310" s="1"/>
      <c r="M310" s="1"/>
      <c r="N310" s="530"/>
      <c r="O310" s="530"/>
      <c r="P310" s="530"/>
      <c r="Q310" s="530"/>
      <c r="R310" s="2"/>
      <c r="S310" s="1"/>
      <c r="T310" s="2"/>
    </row>
    <row r="311" spans="2:20" s="3" customFormat="1" ht="12" customHeight="1">
      <c r="B311" s="1"/>
      <c r="C311" s="1"/>
      <c r="D311" s="1"/>
      <c r="E311" s="1"/>
      <c r="F311" s="1"/>
      <c r="G311" s="1"/>
      <c r="H311" s="1"/>
      <c r="I311" s="1"/>
      <c r="J311" s="1"/>
      <c r="K311" s="1"/>
      <c r="L311" s="1"/>
      <c r="M311" s="1"/>
      <c r="N311" s="530"/>
      <c r="O311" s="530"/>
      <c r="P311" s="530"/>
      <c r="Q311" s="530"/>
      <c r="R311" s="2"/>
      <c r="S311" s="1"/>
      <c r="T311" s="2"/>
    </row>
    <row r="312" spans="2:20" s="3" customFormat="1" ht="12" customHeight="1">
      <c r="B312" s="1"/>
      <c r="C312" s="1"/>
      <c r="D312" s="1"/>
      <c r="E312" s="1"/>
      <c r="F312" s="1"/>
      <c r="G312" s="1"/>
      <c r="H312" s="1"/>
      <c r="I312" s="1"/>
      <c r="J312" s="1"/>
      <c r="K312" s="1"/>
      <c r="L312" s="1"/>
      <c r="M312" s="1"/>
      <c r="N312" s="530"/>
      <c r="O312" s="530"/>
      <c r="P312" s="530"/>
      <c r="Q312" s="530"/>
      <c r="R312" s="2"/>
      <c r="S312" s="1"/>
      <c r="T312" s="2"/>
    </row>
    <row r="313" spans="2:20" s="3" customFormat="1" ht="12" customHeight="1">
      <c r="B313" s="1"/>
      <c r="C313" s="1"/>
      <c r="D313" s="1"/>
      <c r="E313" s="1"/>
      <c r="F313" s="1"/>
      <c r="G313" s="1"/>
      <c r="H313" s="1"/>
      <c r="I313" s="1"/>
      <c r="J313" s="1"/>
      <c r="K313" s="1"/>
      <c r="L313" s="1"/>
      <c r="M313" s="1"/>
      <c r="N313" s="530"/>
      <c r="O313" s="530"/>
      <c r="P313" s="530"/>
      <c r="Q313" s="530"/>
      <c r="R313" s="2"/>
      <c r="S313" s="1"/>
      <c r="T313" s="2"/>
    </row>
    <row r="314" spans="2:20" s="3" customFormat="1" ht="12" customHeight="1">
      <c r="B314" s="1"/>
      <c r="C314" s="1"/>
      <c r="D314" s="1"/>
      <c r="E314" s="1"/>
      <c r="F314" s="1"/>
      <c r="G314" s="1"/>
      <c r="H314" s="1"/>
      <c r="I314" s="1"/>
      <c r="J314" s="1"/>
      <c r="K314" s="1"/>
      <c r="L314" s="1"/>
      <c r="M314" s="1"/>
      <c r="N314" s="530"/>
      <c r="O314" s="530"/>
      <c r="P314" s="530"/>
      <c r="Q314" s="530"/>
      <c r="R314" s="2"/>
      <c r="S314" s="1"/>
      <c r="T314" s="2"/>
    </row>
    <row r="315" spans="2:20" s="3" customFormat="1" ht="12" customHeight="1">
      <c r="B315" s="1"/>
      <c r="C315" s="1"/>
      <c r="D315" s="1"/>
      <c r="E315" s="1"/>
      <c r="F315" s="1"/>
      <c r="G315" s="1"/>
      <c r="H315" s="1"/>
      <c r="I315" s="1"/>
      <c r="J315" s="1"/>
      <c r="K315" s="1"/>
      <c r="L315" s="1"/>
      <c r="M315" s="1"/>
      <c r="N315" s="530"/>
      <c r="O315" s="530"/>
      <c r="P315" s="530"/>
      <c r="Q315" s="530"/>
      <c r="R315" s="2"/>
      <c r="S315" s="1"/>
      <c r="T315" s="2"/>
    </row>
    <row r="316" spans="2:20" s="3" customFormat="1" ht="12" customHeight="1">
      <c r="B316" s="1"/>
      <c r="C316" s="1"/>
      <c r="D316" s="1"/>
      <c r="E316" s="1"/>
      <c r="F316" s="1"/>
      <c r="G316" s="1"/>
      <c r="H316" s="1"/>
      <c r="I316" s="1"/>
      <c r="J316" s="1"/>
      <c r="K316" s="1"/>
      <c r="L316" s="1"/>
      <c r="M316" s="1"/>
      <c r="N316" s="530"/>
      <c r="O316" s="530"/>
      <c r="P316" s="530"/>
      <c r="Q316" s="530"/>
      <c r="R316" s="2"/>
      <c r="S316" s="1"/>
      <c r="T316" s="2"/>
    </row>
    <row r="317" spans="2:20" s="3" customFormat="1" ht="12" customHeight="1">
      <c r="B317" s="1"/>
      <c r="C317" s="1"/>
      <c r="D317" s="1"/>
      <c r="E317" s="1"/>
      <c r="F317" s="1"/>
      <c r="G317" s="1"/>
      <c r="H317" s="1"/>
      <c r="I317" s="1"/>
      <c r="J317" s="1"/>
      <c r="K317" s="1"/>
      <c r="L317" s="1"/>
      <c r="M317" s="1"/>
      <c r="N317" s="530"/>
      <c r="O317" s="530"/>
      <c r="P317" s="530"/>
      <c r="Q317" s="530"/>
      <c r="R317" s="2"/>
      <c r="S317" s="1"/>
      <c r="T317" s="2"/>
    </row>
    <row r="318" spans="2:20" s="3" customFormat="1" ht="12" customHeight="1">
      <c r="B318" s="1"/>
      <c r="C318" s="1"/>
      <c r="D318" s="1"/>
      <c r="E318" s="1"/>
      <c r="F318" s="1"/>
      <c r="G318" s="1"/>
      <c r="H318" s="1"/>
      <c r="I318" s="1"/>
      <c r="J318" s="1"/>
      <c r="K318" s="1"/>
      <c r="L318" s="1"/>
      <c r="M318" s="1"/>
      <c r="N318" s="530"/>
      <c r="O318" s="530"/>
      <c r="P318" s="530"/>
      <c r="Q318" s="530"/>
      <c r="R318" s="2"/>
      <c r="S318" s="1"/>
      <c r="T318" s="2"/>
    </row>
    <row r="319" spans="2:20" s="3" customFormat="1" ht="12" customHeight="1">
      <c r="B319" s="1"/>
      <c r="C319" s="1"/>
      <c r="D319" s="1"/>
      <c r="E319" s="1"/>
      <c r="F319" s="1"/>
      <c r="G319" s="1"/>
      <c r="H319" s="1"/>
      <c r="I319" s="1"/>
      <c r="J319" s="1"/>
      <c r="K319" s="1"/>
      <c r="L319" s="1"/>
      <c r="M319" s="1"/>
      <c r="N319" s="530"/>
      <c r="O319" s="530"/>
      <c r="P319" s="530"/>
      <c r="Q319" s="530"/>
      <c r="R319" s="2"/>
      <c r="S319" s="1"/>
      <c r="T319" s="2"/>
    </row>
    <row r="320" spans="2:20" s="3" customFormat="1" ht="12" customHeight="1">
      <c r="B320" s="1"/>
      <c r="C320" s="1"/>
      <c r="D320" s="1"/>
      <c r="E320" s="1"/>
      <c r="F320" s="1"/>
      <c r="G320" s="1"/>
      <c r="H320" s="1"/>
      <c r="I320" s="1"/>
      <c r="J320" s="1"/>
      <c r="K320" s="1"/>
      <c r="L320" s="1"/>
      <c r="M320" s="1"/>
      <c r="N320" s="530"/>
      <c r="O320" s="530"/>
      <c r="P320" s="530"/>
      <c r="Q320" s="530"/>
      <c r="R320" s="2"/>
      <c r="S320" s="1"/>
      <c r="T320" s="2"/>
    </row>
    <row r="321" spans="2:20" s="3" customFormat="1" ht="12" customHeight="1">
      <c r="B321" s="1"/>
      <c r="C321" s="1"/>
      <c r="D321" s="1"/>
      <c r="E321" s="1"/>
      <c r="F321" s="1"/>
      <c r="G321" s="1"/>
      <c r="H321" s="1"/>
      <c r="I321" s="1"/>
      <c r="J321" s="1"/>
      <c r="K321" s="1"/>
      <c r="L321" s="1"/>
      <c r="M321" s="1"/>
      <c r="N321" s="530"/>
      <c r="O321" s="530"/>
      <c r="P321" s="530"/>
      <c r="Q321" s="530"/>
      <c r="R321" s="2"/>
      <c r="S321" s="1"/>
      <c r="T321" s="2"/>
    </row>
    <row r="322" spans="2:20" s="3" customFormat="1" ht="12" customHeight="1">
      <c r="B322" s="1"/>
      <c r="C322" s="1"/>
      <c r="D322" s="1"/>
      <c r="E322" s="1"/>
      <c r="F322" s="1"/>
      <c r="G322" s="1"/>
      <c r="H322" s="1"/>
      <c r="I322" s="1"/>
      <c r="J322" s="1"/>
      <c r="K322" s="1"/>
      <c r="L322" s="1"/>
      <c r="M322" s="1"/>
      <c r="N322" s="530"/>
      <c r="O322" s="530"/>
      <c r="P322" s="530"/>
      <c r="Q322" s="530"/>
      <c r="R322" s="2"/>
      <c r="S322" s="1"/>
      <c r="T322" s="2"/>
    </row>
    <row r="323" spans="2:20" s="3" customFormat="1" ht="12" customHeight="1">
      <c r="B323" s="1"/>
      <c r="C323" s="1"/>
      <c r="D323" s="1"/>
      <c r="E323" s="1"/>
      <c r="F323" s="1"/>
      <c r="G323" s="1"/>
      <c r="H323" s="1"/>
      <c r="I323" s="1"/>
      <c r="J323" s="1"/>
      <c r="K323" s="1"/>
      <c r="L323" s="1"/>
      <c r="M323" s="1"/>
      <c r="N323" s="530"/>
      <c r="O323" s="530"/>
      <c r="P323" s="530"/>
      <c r="Q323" s="530"/>
      <c r="R323" s="2"/>
      <c r="S323" s="1"/>
      <c r="T323" s="2"/>
    </row>
    <row r="324" spans="2:20" s="3" customFormat="1" ht="12" customHeight="1">
      <c r="B324" s="1"/>
      <c r="C324" s="1"/>
      <c r="D324" s="1"/>
      <c r="E324" s="1"/>
      <c r="F324" s="1"/>
      <c r="G324" s="1"/>
      <c r="H324" s="1"/>
      <c r="I324" s="1"/>
      <c r="J324" s="1"/>
      <c r="K324" s="1"/>
      <c r="L324" s="1"/>
      <c r="M324" s="1"/>
      <c r="N324" s="530"/>
      <c r="O324" s="530"/>
      <c r="P324" s="530"/>
      <c r="Q324" s="530"/>
      <c r="R324" s="2"/>
      <c r="S324" s="1"/>
      <c r="T324" s="2"/>
    </row>
    <row r="325" spans="2:20" s="3" customFormat="1" ht="12" customHeight="1">
      <c r="B325" s="1"/>
      <c r="C325" s="1"/>
      <c r="D325" s="1"/>
      <c r="E325" s="1"/>
      <c r="F325" s="1"/>
      <c r="G325" s="1"/>
      <c r="H325" s="1"/>
      <c r="I325" s="1"/>
      <c r="J325" s="1"/>
      <c r="K325" s="1"/>
      <c r="L325" s="1"/>
      <c r="M325" s="1"/>
      <c r="N325" s="530"/>
      <c r="O325" s="530"/>
      <c r="P325" s="530"/>
      <c r="Q325" s="530"/>
      <c r="R325" s="2"/>
      <c r="S325" s="1"/>
      <c r="T325" s="2"/>
    </row>
    <row r="326" spans="2:20" s="3" customFormat="1" ht="12" customHeight="1">
      <c r="B326" s="1"/>
      <c r="C326" s="1"/>
      <c r="D326" s="1"/>
      <c r="E326" s="1"/>
      <c r="F326" s="1"/>
      <c r="G326" s="1"/>
      <c r="H326" s="1"/>
      <c r="I326" s="1"/>
      <c r="J326" s="1"/>
      <c r="K326" s="1"/>
      <c r="L326" s="1"/>
      <c r="M326" s="1"/>
      <c r="N326" s="530"/>
      <c r="O326" s="530"/>
      <c r="P326" s="530"/>
      <c r="Q326" s="530"/>
      <c r="R326" s="2"/>
      <c r="S326" s="1"/>
      <c r="T326" s="2"/>
    </row>
    <row r="327" spans="2:20" s="3" customFormat="1" ht="12" customHeight="1">
      <c r="B327" s="1"/>
      <c r="C327" s="1"/>
      <c r="D327" s="1"/>
      <c r="E327" s="1"/>
      <c r="F327" s="1"/>
      <c r="G327" s="1"/>
      <c r="H327" s="1"/>
      <c r="I327" s="1"/>
      <c r="J327" s="1"/>
      <c r="K327" s="1"/>
      <c r="L327" s="1"/>
      <c r="M327" s="1"/>
      <c r="N327" s="530"/>
      <c r="O327" s="530"/>
      <c r="P327" s="530"/>
      <c r="Q327" s="530"/>
      <c r="R327" s="2"/>
      <c r="S327" s="1"/>
      <c r="T327" s="2"/>
    </row>
    <row r="328" spans="2:20" s="3" customFormat="1" ht="12" customHeight="1">
      <c r="B328" s="1"/>
      <c r="C328" s="1"/>
      <c r="D328" s="1"/>
      <c r="E328" s="1"/>
      <c r="F328" s="1"/>
      <c r="G328" s="1"/>
      <c r="H328" s="1"/>
      <c r="I328" s="1"/>
      <c r="J328" s="1"/>
      <c r="K328" s="1"/>
      <c r="L328" s="1"/>
      <c r="M328" s="1"/>
      <c r="N328" s="530"/>
      <c r="O328" s="530"/>
      <c r="P328" s="530"/>
      <c r="Q328" s="530"/>
      <c r="R328" s="2"/>
      <c r="S328" s="1"/>
      <c r="T328" s="2"/>
    </row>
    <row r="329" spans="2:20" s="3" customFormat="1" ht="12" customHeight="1">
      <c r="B329" s="1"/>
      <c r="C329" s="1"/>
      <c r="D329" s="1"/>
      <c r="E329" s="1"/>
      <c r="F329" s="1"/>
      <c r="G329" s="1"/>
      <c r="H329" s="1"/>
      <c r="I329" s="1"/>
      <c r="J329" s="1"/>
      <c r="K329" s="1"/>
      <c r="L329" s="1"/>
      <c r="M329" s="1"/>
      <c r="N329" s="530"/>
      <c r="O329" s="530"/>
      <c r="P329" s="530"/>
      <c r="Q329" s="530"/>
      <c r="R329" s="2"/>
      <c r="S329" s="1"/>
      <c r="T329" s="2"/>
    </row>
    <row r="330" spans="2:20" s="3" customFormat="1" ht="12" customHeight="1">
      <c r="B330" s="1"/>
      <c r="C330" s="1"/>
      <c r="D330" s="1"/>
      <c r="E330" s="1"/>
      <c r="F330" s="1"/>
      <c r="G330" s="1"/>
      <c r="H330" s="1"/>
      <c r="I330" s="1"/>
      <c r="J330" s="1"/>
      <c r="K330" s="1"/>
      <c r="L330" s="1"/>
      <c r="M330" s="1"/>
      <c r="N330" s="530"/>
      <c r="O330" s="530"/>
      <c r="P330" s="530"/>
      <c r="Q330" s="530"/>
      <c r="R330" s="2"/>
      <c r="S330" s="1"/>
      <c r="T330" s="2"/>
    </row>
    <row r="331" spans="2:20" s="3" customFormat="1" ht="12" customHeight="1">
      <c r="B331" s="1"/>
      <c r="C331" s="1"/>
      <c r="D331" s="1"/>
      <c r="E331" s="1"/>
      <c r="F331" s="1"/>
      <c r="G331" s="1"/>
      <c r="H331" s="1"/>
      <c r="I331" s="1"/>
      <c r="J331" s="1"/>
      <c r="K331" s="1"/>
      <c r="L331" s="1"/>
      <c r="M331" s="1"/>
      <c r="N331" s="530"/>
      <c r="O331" s="530"/>
      <c r="P331" s="530"/>
      <c r="Q331" s="530"/>
      <c r="R331" s="2"/>
      <c r="S331" s="1"/>
      <c r="T331" s="2"/>
    </row>
    <row r="332" spans="2:20" s="3" customFormat="1" ht="12" customHeight="1">
      <c r="B332" s="1"/>
      <c r="C332" s="1"/>
      <c r="D332" s="1"/>
      <c r="E332" s="1"/>
      <c r="F332" s="1"/>
      <c r="G332" s="1"/>
      <c r="H332" s="1"/>
      <c r="I332" s="1"/>
      <c r="J332" s="1"/>
      <c r="K332" s="1"/>
      <c r="L332" s="1"/>
      <c r="M332" s="1"/>
      <c r="N332" s="530"/>
      <c r="O332" s="530"/>
      <c r="P332" s="530"/>
      <c r="Q332" s="530"/>
      <c r="R332" s="2"/>
      <c r="S332" s="1"/>
      <c r="T332" s="2"/>
    </row>
    <row r="333" spans="2:20" s="3" customFormat="1" ht="12" customHeight="1">
      <c r="B333" s="1"/>
      <c r="C333" s="1"/>
      <c r="D333" s="1"/>
      <c r="E333" s="1"/>
      <c r="F333" s="1"/>
      <c r="G333" s="1"/>
      <c r="H333" s="1"/>
      <c r="I333" s="1"/>
      <c r="J333" s="1"/>
      <c r="K333" s="1"/>
      <c r="L333" s="1"/>
      <c r="M333" s="1"/>
      <c r="N333" s="530"/>
      <c r="O333" s="530"/>
      <c r="P333" s="530"/>
      <c r="Q333" s="530"/>
      <c r="R333" s="2"/>
      <c r="S333" s="1"/>
      <c r="T333" s="2"/>
    </row>
    <row r="334" spans="2:20" s="3" customFormat="1" ht="12" customHeight="1">
      <c r="B334" s="1"/>
      <c r="C334" s="1"/>
      <c r="D334" s="1"/>
      <c r="E334" s="1"/>
      <c r="F334" s="1"/>
      <c r="G334" s="1"/>
      <c r="H334" s="1"/>
      <c r="I334" s="1"/>
      <c r="J334" s="1"/>
      <c r="K334" s="1"/>
      <c r="L334" s="1"/>
      <c r="M334" s="1"/>
      <c r="N334" s="530"/>
      <c r="O334" s="530"/>
      <c r="P334" s="530"/>
      <c r="Q334" s="530"/>
      <c r="R334" s="2"/>
      <c r="S334" s="1"/>
      <c r="T334" s="2"/>
    </row>
    <row r="335" spans="2:20" s="3" customFormat="1" ht="12" customHeight="1">
      <c r="B335" s="1"/>
      <c r="C335" s="1"/>
      <c r="D335" s="1"/>
      <c r="E335" s="1"/>
      <c r="F335" s="1"/>
      <c r="G335" s="1"/>
      <c r="H335" s="1"/>
      <c r="I335" s="1"/>
      <c r="J335" s="1"/>
      <c r="K335" s="1"/>
      <c r="L335" s="1"/>
      <c r="M335" s="1"/>
      <c r="N335" s="530"/>
      <c r="O335" s="530"/>
      <c r="P335" s="530"/>
      <c r="Q335" s="530"/>
      <c r="R335" s="2"/>
      <c r="S335" s="1"/>
      <c r="T335" s="2"/>
    </row>
    <row r="336" spans="2:20" s="3" customFormat="1" ht="12" customHeight="1">
      <c r="B336" s="1"/>
      <c r="C336" s="1"/>
      <c r="D336" s="1"/>
      <c r="E336" s="1"/>
      <c r="F336" s="1"/>
      <c r="G336" s="1"/>
      <c r="H336" s="1"/>
      <c r="I336" s="1"/>
      <c r="J336" s="1"/>
      <c r="K336" s="1"/>
      <c r="L336" s="1"/>
      <c r="M336" s="1"/>
      <c r="N336" s="530"/>
      <c r="O336" s="530"/>
      <c r="P336" s="530"/>
      <c r="Q336" s="530"/>
      <c r="R336" s="2"/>
      <c r="S336" s="1"/>
      <c r="T336" s="2"/>
    </row>
    <row r="337" spans="2:20" s="3" customFormat="1" ht="12" customHeight="1">
      <c r="B337" s="1"/>
      <c r="C337" s="1"/>
      <c r="D337" s="1"/>
      <c r="E337" s="1"/>
      <c r="F337" s="1"/>
      <c r="G337" s="1"/>
      <c r="H337" s="1"/>
      <c r="I337" s="1"/>
      <c r="J337" s="1"/>
      <c r="K337" s="1"/>
      <c r="L337" s="1"/>
      <c r="M337" s="1"/>
      <c r="N337" s="530"/>
      <c r="O337" s="530"/>
      <c r="P337" s="530"/>
      <c r="Q337" s="530"/>
      <c r="R337" s="2"/>
      <c r="S337" s="1"/>
      <c r="T337" s="2"/>
    </row>
    <row r="338" spans="2:20" s="3" customFormat="1" ht="12" customHeight="1">
      <c r="B338" s="1"/>
      <c r="C338" s="1"/>
      <c r="D338" s="1"/>
      <c r="E338" s="1"/>
      <c r="F338" s="1"/>
      <c r="G338" s="1"/>
      <c r="H338" s="1"/>
      <c r="I338" s="1"/>
      <c r="J338" s="1"/>
      <c r="K338" s="1"/>
      <c r="L338" s="1"/>
      <c r="M338" s="1"/>
      <c r="N338" s="530"/>
      <c r="O338" s="530"/>
      <c r="P338" s="530"/>
      <c r="Q338" s="530"/>
      <c r="R338" s="2"/>
      <c r="S338" s="1"/>
      <c r="T338" s="2"/>
    </row>
    <row r="339" spans="2:20" s="3" customFormat="1" ht="12" customHeight="1">
      <c r="B339" s="1"/>
      <c r="C339" s="1"/>
      <c r="D339" s="1"/>
      <c r="E339" s="1"/>
      <c r="F339" s="1"/>
      <c r="G339" s="1"/>
      <c r="H339" s="1"/>
      <c r="I339" s="1"/>
      <c r="J339" s="1"/>
      <c r="K339" s="1"/>
      <c r="L339" s="1"/>
      <c r="M339" s="1"/>
      <c r="N339" s="530"/>
      <c r="O339" s="530"/>
      <c r="P339" s="530"/>
      <c r="Q339" s="530"/>
      <c r="R339" s="2"/>
      <c r="S339" s="1"/>
      <c r="T339" s="2"/>
    </row>
    <row r="340" spans="2:20" s="3" customFormat="1" ht="12" customHeight="1">
      <c r="B340" s="1"/>
      <c r="C340" s="1"/>
      <c r="D340" s="1"/>
      <c r="E340" s="1"/>
      <c r="F340" s="1"/>
      <c r="G340" s="1"/>
      <c r="H340" s="1"/>
      <c r="I340" s="1"/>
      <c r="J340" s="1"/>
      <c r="K340" s="1"/>
      <c r="L340" s="1"/>
      <c r="M340" s="1"/>
      <c r="N340" s="530"/>
      <c r="O340" s="530"/>
      <c r="P340" s="530"/>
      <c r="Q340" s="530"/>
      <c r="R340" s="2"/>
      <c r="S340" s="1"/>
      <c r="T340" s="2"/>
    </row>
    <row r="341" spans="2:20" s="3" customFormat="1" ht="12" customHeight="1">
      <c r="B341" s="1"/>
      <c r="C341" s="1"/>
      <c r="D341" s="1"/>
      <c r="E341" s="1"/>
      <c r="F341" s="1"/>
      <c r="G341" s="1"/>
      <c r="H341" s="1"/>
      <c r="I341" s="1"/>
      <c r="J341" s="1"/>
      <c r="K341" s="1"/>
      <c r="L341" s="1"/>
      <c r="M341" s="1"/>
      <c r="N341" s="530"/>
      <c r="O341" s="530"/>
      <c r="P341" s="530"/>
      <c r="Q341" s="530"/>
      <c r="R341" s="2"/>
      <c r="S341" s="1"/>
      <c r="T341" s="2"/>
    </row>
    <row r="342" spans="2:20" s="3" customFormat="1" ht="12" customHeight="1">
      <c r="B342" s="1"/>
      <c r="C342" s="1"/>
      <c r="D342" s="1"/>
      <c r="E342" s="1"/>
      <c r="F342" s="1"/>
      <c r="G342" s="1"/>
      <c r="H342" s="1"/>
      <c r="I342" s="1"/>
      <c r="J342" s="1"/>
      <c r="K342" s="1"/>
      <c r="L342" s="1"/>
      <c r="M342" s="1"/>
      <c r="N342" s="530"/>
      <c r="O342" s="530"/>
      <c r="P342" s="530"/>
      <c r="Q342" s="530"/>
      <c r="R342" s="2"/>
      <c r="S342" s="1"/>
      <c r="T342" s="2"/>
    </row>
    <row r="343" spans="2:20" s="3" customFormat="1" ht="12" customHeight="1">
      <c r="B343" s="1"/>
      <c r="C343" s="1"/>
      <c r="D343" s="1"/>
      <c r="E343" s="1"/>
      <c r="F343" s="1"/>
      <c r="G343" s="1"/>
      <c r="H343" s="1"/>
      <c r="I343" s="1"/>
      <c r="J343" s="1"/>
      <c r="K343" s="1"/>
      <c r="L343" s="1"/>
      <c r="M343" s="1"/>
      <c r="N343" s="530"/>
      <c r="O343" s="530"/>
      <c r="P343" s="530"/>
      <c r="Q343" s="530"/>
      <c r="R343" s="2"/>
      <c r="S343" s="1"/>
      <c r="T343" s="2"/>
    </row>
    <row r="344" spans="2:20" s="3" customFormat="1" ht="12" customHeight="1">
      <c r="B344" s="1"/>
      <c r="C344" s="1"/>
      <c r="D344" s="1"/>
      <c r="E344" s="1"/>
      <c r="F344" s="1"/>
      <c r="G344" s="1"/>
      <c r="H344" s="1"/>
      <c r="I344" s="1"/>
      <c r="J344" s="1"/>
      <c r="K344" s="1"/>
      <c r="L344" s="1"/>
      <c r="M344" s="1"/>
      <c r="N344" s="530"/>
      <c r="O344" s="530"/>
      <c r="P344" s="530"/>
      <c r="Q344" s="530"/>
      <c r="R344" s="2"/>
      <c r="S344" s="1"/>
      <c r="T344" s="2"/>
    </row>
    <row r="345" spans="2:20" s="3" customFormat="1" ht="12" customHeight="1">
      <c r="B345" s="1"/>
      <c r="C345" s="1"/>
      <c r="D345" s="1"/>
      <c r="E345" s="1"/>
      <c r="F345" s="1"/>
      <c r="G345" s="1"/>
      <c r="H345" s="1"/>
      <c r="I345" s="1"/>
      <c r="J345" s="1"/>
      <c r="K345" s="1"/>
      <c r="L345" s="1"/>
      <c r="M345" s="1"/>
      <c r="N345" s="530"/>
      <c r="O345" s="530"/>
      <c r="P345" s="530"/>
      <c r="Q345" s="530"/>
      <c r="R345" s="2"/>
      <c r="S345" s="1"/>
      <c r="T345" s="2"/>
    </row>
    <row r="346" spans="2:20" s="3" customFormat="1" ht="12" customHeight="1">
      <c r="B346" s="1"/>
      <c r="C346" s="1"/>
      <c r="D346" s="1"/>
      <c r="E346" s="1"/>
      <c r="F346" s="1"/>
      <c r="G346" s="1"/>
      <c r="H346" s="1"/>
      <c r="I346" s="1"/>
      <c r="J346" s="1"/>
      <c r="K346" s="1"/>
      <c r="L346" s="1"/>
      <c r="M346" s="1"/>
      <c r="N346" s="530"/>
      <c r="O346" s="530"/>
      <c r="P346" s="530"/>
      <c r="Q346" s="530"/>
      <c r="R346" s="2"/>
      <c r="S346" s="1"/>
      <c r="T346" s="2"/>
    </row>
    <row r="347" spans="2:20" s="3" customFormat="1" ht="12" customHeight="1">
      <c r="B347" s="1"/>
      <c r="C347" s="1"/>
      <c r="D347" s="1"/>
      <c r="E347" s="1"/>
      <c r="F347" s="1"/>
      <c r="G347" s="1"/>
      <c r="H347" s="1"/>
      <c r="I347" s="1"/>
      <c r="J347" s="1"/>
      <c r="K347" s="1"/>
      <c r="L347" s="1"/>
      <c r="M347" s="1"/>
      <c r="N347" s="530"/>
      <c r="O347" s="530"/>
      <c r="P347" s="530"/>
      <c r="Q347" s="530"/>
      <c r="R347" s="2"/>
      <c r="S347" s="1"/>
      <c r="T347" s="2"/>
    </row>
    <row r="348" spans="2:20" s="3" customFormat="1" ht="12" customHeight="1">
      <c r="B348" s="1"/>
      <c r="C348" s="1"/>
      <c r="D348" s="1"/>
      <c r="E348" s="1"/>
      <c r="F348" s="1"/>
      <c r="G348" s="1"/>
      <c r="H348" s="1"/>
      <c r="I348" s="1"/>
      <c r="J348" s="1"/>
      <c r="K348" s="1"/>
      <c r="L348" s="1"/>
      <c r="M348" s="1"/>
      <c r="N348" s="530"/>
      <c r="O348" s="530"/>
      <c r="P348" s="530"/>
      <c r="Q348" s="530"/>
      <c r="R348" s="2"/>
      <c r="S348" s="1"/>
      <c r="T348" s="2"/>
    </row>
    <row r="349" spans="2:20" s="3" customFormat="1" ht="12" customHeight="1">
      <c r="B349" s="1"/>
      <c r="C349" s="1"/>
      <c r="D349" s="1"/>
      <c r="E349" s="1"/>
      <c r="F349" s="1"/>
      <c r="G349" s="1"/>
      <c r="H349" s="1"/>
      <c r="I349" s="1"/>
      <c r="J349" s="1"/>
      <c r="K349" s="1"/>
      <c r="L349" s="1"/>
      <c r="M349" s="1"/>
      <c r="N349" s="530"/>
      <c r="O349" s="530"/>
      <c r="P349" s="530"/>
      <c r="Q349" s="530"/>
      <c r="R349" s="2"/>
      <c r="S349" s="1"/>
      <c r="T349" s="2"/>
    </row>
    <row r="350" spans="2:20" s="3" customFormat="1" ht="12" customHeight="1">
      <c r="B350" s="1"/>
      <c r="C350" s="1"/>
      <c r="D350" s="1"/>
      <c r="E350" s="1"/>
      <c r="F350" s="1"/>
      <c r="G350" s="1"/>
      <c r="H350" s="1"/>
      <c r="I350" s="1"/>
      <c r="J350" s="1"/>
      <c r="K350" s="1"/>
      <c r="L350" s="1"/>
      <c r="M350" s="1"/>
      <c r="N350" s="530"/>
      <c r="O350" s="530"/>
      <c r="P350" s="530"/>
      <c r="Q350" s="530"/>
      <c r="R350" s="2"/>
      <c r="S350" s="1"/>
      <c r="T350" s="2"/>
    </row>
    <row r="351" spans="2:20" s="3" customFormat="1" ht="12" customHeight="1">
      <c r="B351" s="1"/>
      <c r="C351" s="1"/>
      <c r="D351" s="1"/>
      <c r="E351" s="1"/>
      <c r="F351" s="1"/>
      <c r="G351" s="1"/>
      <c r="H351" s="1"/>
      <c r="I351" s="1"/>
      <c r="J351" s="1"/>
      <c r="K351" s="1"/>
      <c r="L351" s="1"/>
      <c r="M351" s="1"/>
      <c r="N351" s="530"/>
      <c r="O351" s="530"/>
      <c r="P351" s="530"/>
      <c r="Q351" s="530"/>
      <c r="R351" s="2"/>
      <c r="S351" s="1"/>
      <c r="T351" s="2"/>
    </row>
    <row r="352" spans="2:20" s="3" customFormat="1" ht="12" customHeight="1">
      <c r="B352" s="1"/>
      <c r="C352" s="1"/>
      <c r="D352" s="1"/>
      <c r="E352" s="1"/>
      <c r="F352" s="1"/>
      <c r="G352" s="1"/>
      <c r="H352" s="1"/>
      <c r="I352" s="1"/>
      <c r="J352" s="1"/>
      <c r="K352" s="1"/>
      <c r="L352" s="1"/>
      <c r="M352" s="1"/>
      <c r="N352" s="530"/>
      <c r="O352" s="530"/>
      <c r="P352" s="530"/>
      <c r="Q352" s="530"/>
      <c r="R352" s="2"/>
      <c r="S352" s="1"/>
      <c r="T352" s="2"/>
    </row>
    <row r="353" spans="2:20" s="3" customFormat="1" ht="12" customHeight="1">
      <c r="B353" s="1"/>
      <c r="C353" s="1"/>
      <c r="D353" s="1"/>
      <c r="E353" s="1"/>
      <c r="F353" s="1"/>
      <c r="G353" s="1"/>
      <c r="H353" s="1"/>
      <c r="I353" s="1"/>
      <c r="J353" s="1"/>
      <c r="K353" s="1"/>
      <c r="L353" s="1"/>
      <c r="M353" s="1"/>
      <c r="N353" s="530"/>
      <c r="O353" s="530"/>
      <c r="P353" s="530"/>
      <c r="Q353" s="530"/>
      <c r="R353" s="2"/>
      <c r="S353" s="1"/>
      <c r="T353" s="2"/>
    </row>
    <row r="354" spans="2:20" s="3" customFormat="1" ht="12" customHeight="1">
      <c r="B354" s="1"/>
      <c r="C354" s="1"/>
      <c r="D354" s="1"/>
      <c r="E354" s="1"/>
      <c r="F354" s="1"/>
      <c r="G354" s="1"/>
      <c r="H354" s="1"/>
      <c r="I354" s="1"/>
      <c r="J354" s="1"/>
      <c r="K354" s="1"/>
      <c r="L354" s="1"/>
      <c r="M354" s="1"/>
      <c r="N354" s="530"/>
      <c r="O354" s="530"/>
      <c r="P354" s="530"/>
      <c r="Q354" s="530"/>
      <c r="R354" s="2"/>
      <c r="S354" s="1"/>
      <c r="T354" s="2"/>
    </row>
    <row r="355" spans="2:20" s="3" customFormat="1" ht="12" customHeight="1">
      <c r="B355" s="1"/>
      <c r="C355" s="1"/>
      <c r="D355" s="1"/>
      <c r="E355" s="1"/>
      <c r="F355" s="1"/>
      <c r="G355" s="1"/>
      <c r="H355" s="1"/>
      <c r="I355" s="1"/>
      <c r="J355" s="1"/>
      <c r="K355" s="1"/>
      <c r="L355" s="1"/>
      <c r="M355" s="1"/>
      <c r="N355" s="530"/>
      <c r="O355" s="530"/>
      <c r="P355" s="530"/>
      <c r="Q355" s="530"/>
      <c r="R355" s="2"/>
      <c r="S355" s="1"/>
      <c r="T355" s="2"/>
    </row>
    <row r="356" spans="2:20" s="3" customFormat="1" ht="12" customHeight="1">
      <c r="B356" s="1"/>
      <c r="C356" s="1"/>
      <c r="D356" s="1"/>
      <c r="E356" s="1"/>
      <c r="F356" s="1"/>
      <c r="G356" s="1"/>
      <c r="H356" s="1"/>
      <c r="I356" s="1"/>
      <c r="J356" s="1"/>
      <c r="K356" s="1"/>
      <c r="L356" s="1"/>
      <c r="M356" s="1"/>
      <c r="N356" s="530"/>
      <c r="O356" s="530"/>
      <c r="P356" s="530"/>
      <c r="Q356" s="530"/>
      <c r="R356" s="2"/>
      <c r="S356" s="1"/>
      <c r="T356" s="2"/>
    </row>
    <row r="357" spans="2:20" s="3" customFormat="1" ht="12" customHeight="1">
      <c r="B357" s="1"/>
      <c r="C357" s="1"/>
      <c r="D357" s="1"/>
      <c r="E357" s="1"/>
      <c r="F357" s="1"/>
      <c r="G357" s="1"/>
      <c r="H357" s="1"/>
      <c r="I357" s="1"/>
      <c r="J357" s="1"/>
      <c r="K357" s="1"/>
      <c r="L357" s="1"/>
      <c r="M357" s="1"/>
      <c r="N357" s="530"/>
      <c r="O357" s="530"/>
      <c r="P357" s="530"/>
      <c r="Q357" s="530"/>
      <c r="R357" s="2"/>
      <c r="S357" s="1"/>
      <c r="T357" s="2"/>
    </row>
    <row r="358" spans="2:20" s="3" customFormat="1" ht="12" customHeight="1">
      <c r="B358" s="1"/>
      <c r="C358" s="1"/>
      <c r="D358" s="1"/>
      <c r="E358" s="1"/>
      <c r="F358" s="1"/>
      <c r="G358" s="1"/>
      <c r="H358" s="1"/>
      <c r="I358" s="1"/>
      <c r="J358" s="1"/>
      <c r="K358" s="1"/>
      <c r="L358" s="1"/>
      <c r="M358" s="1"/>
      <c r="N358" s="530"/>
      <c r="O358" s="530"/>
      <c r="P358" s="530"/>
      <c r="Q358" s="530"/>
      <c r="R358" s="2"/>
      <c r="S358" s="1"/>
      <c r="T358" s="2"/>
    </row>
    <row r="359" spans="2:20" s="3" customFormat="1" ht="12" customHeight="1">
      <c r="B359" s="1"/>
      <c r="C359" s="1"/>
      <c r="D359" s="1"/>
      <c r="E359" s="1"/>
      <c r="F359" s="1"/>
      <c r="G359" s="1"/>
      <c r="H359" s="1"/>
      <c r="I359" s="1"/>
      <c r="J359" s="1"/>
      <c r="K359" s="1"/>
      <c r="L359" s="1"/>
      <c r="M359" s="1"/>
      <c r="N359" s="530"/>
      <c r="O359" s="530"/>
      <c r="P359" s="530"/>
      <c r="Q359" s="530"/>
      <c r="R359" s="2"/>
      <c r="S359" s="1"/>
      <c r="T359" s="2"/>
    </row>
    <row r="360" spans="2:20" s="3" customFormat="1" ht="12" customHeight="1">
      <c r="B360" s="1"/>
      <c r="C360" s="1"/>
      <c r="D360" s="1"/>
      <c r="E360" s="1"/>
      <c r="F360" s="1"/>
      <c r="G360" s="1"/>
      <c r="H360" s="1"/>
      <c r="I360" s="1"/>
      <c r="J360" s="1"/>
      <c r="K360" s="1"/>
      <c r="L360" s="1"/>
      <c r="M360" s="1"/>
      <c r="N360" s="530"/>
      <c r="O360" s="530"/>
      <c r="P360" s="530"/>
      <c r="Q360" s="530"/>
      <c r="R360" s="2"/>
      <c r="S360" s="1"/>
      <c r="T360" s="2"/>
    </row>
    <row r="361" spans="2:20" s="3" customFormat="1" ht="12" customHeight="1">
      <c r="B361" s="1"/>
      <c r="C361" s="1"/>
      <c r="D361" s="1"/>
      <c r="E361" s="1"/>
      <c r="F361" s="1"/>
      <c r="G361" s="1"/>
      <c r="H361" s="1"/>
      <c r="I361" s="1"/>
      <c r="J361" s="1"/>
      <c r="K361" s="1"/>
      <c r="L361" s="1"/>
      <c r="M361" s="1"/>
      <c r="N361" s="530"/>
      <c r="O361" s="530"/>
      <c r="P361" s="530"/>
      <c r="Q361" s="530"/>
      <c r="R361" s="2"/>
      <c r="S361" s="1"/>
      <c r="T361" s="2"/>
    </row>
    <row r="362" spans="2:20" s="3" customFormat="1" ht="12" customHeight="1">
      <c r="B362" s="1"/>
      <c r="C362" s="1"/>
      <c r="D362" s="1"/>
      <c r="E362" s="1"/>
      <c r="F362" s="1"/>
      <c r="G362" s="1"/>
      <c r="H362" s="1"/>
      <c r="I362" s="1"/>
      <c r="J362" s="1"/>
      <c r="K362" s="1"/>
      <c r="L362" s="1"/>
      <c r="M362" s="1"/>
      <c r="N362" s="530"/>
      <c r="O362" s="530"/>
      <c r="P362" s="530"/>
      <c r="Q362" s="530"/>
      <c r="R362" s="2"/>
      <c r="S362" s="1"/>
      <c r="T362" s="2"/>
    </row>
    <row r="363" spans="2:20" s="3" customFormat="1" ht="12" customHeight="1">
      <c r="B363" s="1"/>
      <c r="C363" s="1"/>
      <c r="D363" s="1"/>
      <c r="E363" s="1"/>
      <c r="F363" s="1"/>
      <c r="G363" s="1"/>
      <c r="H363" s="1"/>
      <c r="I363" s="1"/>
      <c r="J363" s="1"/>
      <c r="K363" s="1"/>
      <c r="L363" s="1"/>
      <c r="M363" s="1"/>
      <c r="N363" s="530"/>
      <c r="O363" s="530"/>
      <c r="P363" s="530"/>
      <c r="Q363" s="530"/>
      <c r="R363" s="2"/>
      <c r="S363" s="1"/>
      <c r="T363" s="2"/>
    </row>
    <row r="364" spans="2:20" s="3" customFormat="1" ht="12" customHeight="1">
      <c r="B364" s="1"/>
      <c r="C364" s="1"/>
      <c r="D364" s="1"/>
      <c r="E364" s="1"/>
      <c r="F364" s="1"/>
      <c r="G364" s="1"/>
      <c r="H364" s="1"/>
      <c r="I364" s="1"/>
      <c r="J364" s="1"/>
      <c r="K364" s="1"/>
      <c r="L364" s="1"/>
      <c r="M364" s="1"/>
      <c r="N364" s="530"/>
      <c r="O364" s="530"/>
      <c r="P364" s="530"/>
      <c r="Q364" s="530"/>
      <c r="R364" s="2"/>
      <c r="S364" s="1"/>
      <c r="T364" s="2"/>
    </row>
    <row r="365" spans="2:20" s="3" customFormat="1" ht="12" customHeight="1">
      <c r="B365" s="1"/>
      <c r="C365" s="1"/>
      <c r="D365" s="1"/>
      <c r="E365" s="1"/>
      <c r="F365" s="1"/>
      <c r="G365" s="1"/>
      <c r="H365" s="1"/>
      <c r="I365" s="1"/>
      <c r="J365" s="1"/>
      <c r="K365" s="1"/>
      <c r="L365" s="1"/>
      <c r="M365" s="1"/>
      <c r="N365" s="530"/>
      <c r="O365" s="530"/>
      <c r="P365" s="530"/>
      <c r="Q365" s="530"/>
      <c r="R365" s="2"/>
      <c r="S365" s="1"/>
      <c r="T365" s="2"/>
    </row>
    <row r="366" spans="2:20" s="3" customFormat="1" ht="12" customHeight="1">
      <c r="B366" s="1"/>
      <c r="C366" s="1"/>
      <c r="D366" s="1"/>
      <c r="E366" s="1"/>
      <c r="F366" s="1"/>
      <c r="G366" s="1"/>
      <c r="H366" s="1"/>
      <c r="I366" s="1"/>
      <c r="J366" s="1"/>
      <c r="K366" s="1"/>
      <c r="L366" s="1"/>
      <c r="M366" s="1"/>
      <c r="N366" s="530"/>
      <c r="O366" s="530"/>
      <c r="P366" s="530"/>
      <c r="Q366" s="530"/>
      <c r="R366" s="2"/>
      <c r="S366" s="1"/>
      <c r="T366" s="2"/>
    </row>
    <row r="367" spans="2:20" s="3" customFormat="1" ht="12" customHeight="1">
      <c r="B367" s="1"/>
      <c r="C367" s="1"/>
      <c r="D367" s="1"/>
      <c r="E367" s="1"/>
      <c r="F367" s="1"/>
      <c r="G367" s="1"/>
      <c r="H367" s="1"/>
      <c r="I367" s="1"/>
      <c r="J367" s="1"/>
      <c r="K367" s="1"/>
      <c r="L367" s="1"/>
      <c r="M367" s="1"/>
      <c r="N367" s="530"/>
      <c r="O367" s="530"/>
      <c r="P367" s="530"/>
      <c r="Q367" s="530"/>
      <c r="R367" s="2"/>
      <c r="S367" s="1"/>
      <c r="T367" s="2"/>
    </row>
    <row r="368" spans="2:20" s="3" customFormat="1" ht="12" customHeight="1">
      <c r="B368" s="1"/>
      <c r="C368" s="1"/>
      <c r="D368" s="1"/>
      <c r="E368" s="1"/>
      <c r="F368" s="1"/>
      <c r="G368" s="1"/>
      <c r="H368" s="1"/>
      <c r="I368" s="1"/>
      <c r="J368" s="1"/>
      <c r="K368" s="1"/>
      <c r="L368" s="1"/>
      <c r="M368" s="1"/>
      <c r="N368" s="530"/>
      <c r="O368" s="530"/>
      <c r="P368" s="530"/>
      <c r="Q368" s="530"/>
      <c r="R368" s="2"/>
      <c r="S368" s="1"/>
      <c r="T368" s="2"/>
    </row>
    <row r="369" spans="2:20" s="3" customFormat="1" ht="12" customHeight="1">
      <c r="B369" s="1"/>
      <c r="C369" s="1"/>
      <c r="D369" s="1"/>
      <c r="E369" s="1"/>
      <c r="F369" s="1"/>
      <c r="G369" s="1"/>
      <c r="H369" s="1"/>
      <c r="I369" s="1"/>
      <c r="J369" s="1"/>
      <c r="K369" s="1"/>
      <c r="L369" s="1"/>
      <c r="M369" s="1"/>
      <c r="N369" s="530"/>
      <c r="O369" s="530"/>
      <c r="P369" s="530"/>
      <c r="Q369" s="530"/>
      <c r="R369" s="2"/>
      <c r="S369" s="1"/>
      <c r="T369" s="2"/>
    </row>
    <row r="370" spans="2:20" s="3" customFormat="1" ht="12" customHeight="1">
      <c r="B370" s="1"/>
      <c r="C370" s="1"/>
      <c r="D370" s="1"/>
      <c r="E370" s="1"/>
      <c r="F370" s="1"/>
      <c r="G370" s="1"/>
      <c r="H370" s="1"/>
      <c r="I370" s="1"/>
      <c r="J370" s="1"/>
      <c r="K370" s="1"/>
      <c r="L370" s="1"/>
      <c r="M370" s="1"/>
      <c r="N370" s="530"/>
      <c r="O370" s="530"/>
      <c r="P370" s="530"/>
      <c r="Q370" s="530"/>
      <c r="R370" s="2"/>
      <c r="S370" s="1"/>
      <c r="T370" s="2"/>
    </row>
    <row r="371" spans="2:20" s="3" customFormat="1" ht="12" customHeight="1">
      <c r="B371" s="1"/>
      <c r="C371" s="1"/>
      <c r="D371" s="1"/>
      <c r="E371" s="1"/>
      <c r="F371" s="1"/>
      <c r="G371" s="1"/>
      <c r="H371" s="1"/>
      <c r="I371" s="1"/>
      <c r="J371" s="1"/>
      <c r="K371" s="1"/>
      <c r="L371" s="1"/>
      <c r="M371" s="1"/>
      <c r="N371" s="530"/>
      <c r="O371" s="530"/>
      <c r="P371" s="530"/>
      <c r="Q371" s="530"/>
      <c r="R371" s="2"/>
      <c r="S371" s="1"/>
      <c r="T371" s="2"/>
    </row>
    <row r="372" spans="2:20" s="3" customFormat="1" ht="12" customHeight="1">
      <c r="B372" s="1"/>
      <c r="C372" s="1"/>
      <c r="D372" s="1"/>
      <c r="E372" s="1"/>
      <c r="F372" s="1"/>
      <c r="G372" s="1"/>
      <c r="H372" s="1"/>
      <c r="I372" s="1"/>
      <c r="J372" s="1"/>
      <c r="K372" s="1"/>
      <c r="L372" s="1"/>
      <c r="M372" s="1"/>
      <c r="N372" s="530"/>
      <c r="O372" s="530"/>
      <c r="P372" s="530"/>
      <c r="Q372" s="530"/>
      <c r="R372" s="2"/>
      <c r="S372" s="1"/>
      <c r="T372" s="2"/>
    </row>
    <row r="373" spans="2:20" s="3" customFormat="1" ht="12" customHeight="1">
      <c r="B373" s="1"/>
      <c r="C373" s="1"/>
      <c r="D373" s="1"/>
      <c r="E373" s="1"/>
      <c r="F373" s="1"/>
      <c r="G373" s="1"/>
      <c r="H373" s="1"/>
      <c r="I373" s="1"/>
      <c r="J373" s="1"/>
      <c r="K373" s="1"/>
      <c r="L373" s="1"/>
      <c r="M373" s="1"/>
      <c r="N373" s="530"/>
      <c r="O373" s="530"/>
      <c r="P373" s="530"/>
      <c r="Q373" s="530"/>
      <c r="R373" s="2"/>
      <c r="S373" s="1"/>
      <c r="T373" s="2"/>
    </row>
    <row r="374" spans="2:20" s="3" customFormat="1" ht="12" customHeight="1">
      <c r="B374" s="1"/>
      <c r="C374" s="1"/>
      <c r="D374" s="1"/>
      <c r="E374" s="1"/>
      <c r="F374" s="1"/>
      <c r="G374" s="1"/>
      <c r="H374" s="1"/>
      <c r="I374" s="1"/>
      <c r="J374" s="1"/>
      <c r="K374" s="1"/>
      <c r="L374" s="1"/>
      <c r="M374" s="1"/>
      <c r="N374" s="530"/>
      <c r="O374" s="530"/>
      <c r="P374" s="530"/>
      <c r="Q374" s="530"/>
      <c r="R374" s="2"/>
      <c r="S374" s="1"/>
      <c r="T374" s="2"/>
    </row>
    <row r="375" spans="2:20" s="3" customFormat="1" ht="12" customHeight="1">
      <c r="B375" s="1"/>
      <c r="C375" s="1"/>
      <c r="D375" s="1"/>
      <c r="E375" s="1"/>
      <c r="F375" s="1"/>
      <c r="G375" s="1"/>
      <c r="H375" s="1"/>
      <c r="I375" s="1"/>
      <c r="J375" s="1"/>
      <c r="K375" s="1"/>
      <c r="L375" s="1"/>
      <c r="M375" s="1"/>
      <c r="N375" s="530"/>
      <c r="O375" s="530"/>
      <c r="P375" s="530"/>
      <c r="Q375" s="530"/>
      <c r="R375" s="2"/>
      <c r="S375" s="1"/>
      <c r="T375" s="2"/>
    </row>
    <row r="376" spans="2:20" s="3" customFormat="1" ht="12" customHeight="1">
      <c r="B376" s="1"/>
      <c r="C376" s="1"/>
      <c r="D376" s="1"/>
      <c r="E376" s="1"/>
      <c r="F376" s="1"/>
      <c r="G376" s="1"/>
      <c r="H376" s="1"/>
      <c r="I376" s="1"/>
      <c r="J376" s="1"/>
      <c r="K376" s="1"/>
      <c r="L376" s="1"/>
      <c r="M376" s="1"/>
      <c r="N376" s="530"/>
      <c r="O376" s="530"/>
      <c r="P376" s="530"/>
      <c r="Q376" s="530"/>
      <c r="R376" s="2"/>
      <c r="S376" s="1"/>
      <c r="T376" s="2"/>
    </row>
    <row r="377" spans="2:20" s="3" customFormat="1" ht="12" customHeight="1">
      <c r="B377" s="1"/>
      <c r="C377" s="1"/>
      <c r="D377" s="1"/>
      <c r="E377" s="1"/>
      <c r="F377" s="1"/>
      <c r="G377" s="1"/>
      <c r="H377" s="1"/>
      <c r="I377" s="1"/>
      <c r="J377" s="1"/>
      <c r="K377" s="1"/>
      <c r="L377" s="1"/>
      <c r="M377" s="1"/>
      <c r="N377" s="530"/>
      <c r="O377" s="530"/>
      <c r="P377" s="530"/>
      <c r="Q377" s="530"/>
      <c r="R377" s="2"/>
      <c r="S377" s="1"/>
      <c r="T377" s="2"/>
    </row>
    <row r="378" spans="2:20" s="3" customFormat="1" ht="12" customHeight="1">
      <c r="B378" s="1"/>
      <c r="C378" s="1"/>
      <c r="D378" s="1"/>
      <c r="E378" s="1"/>
      <c r="F378" s="1"/>
      <c r="G378" s="1"/>
      <c r="H378" s="1"/>
      <c r="I378" s="1"/>
      <c r="J378" s="1"/>
      <c r="K378" s="1"/>
      <c r="L378" s="1"/>
      <c r="M378" s="1"/>
      <c r="N378" s="530"/>
      <c r="O378" s="530"/>
      <c r="P378" s="530"/>
      <c r="Q378" s="530"/>
      <c r="R378" s="2"/>
      <c r="S378" s="1"/>
      <c r="T378" s="2"/>
    </row>
    <row r="379" spans="2:20" s="3" customFormat="1" ht="12" customHeight="1">
      <c r="B379" s="1"/>
      <c r="C379" s="1"/>
      <c r="D379" s="1"/>
      <c r="E379" s="1"/>
      <c r="F379" s="1"/>
      <c r="G379" s="1"/>
      <c r="H379" s="1"/>
      <c r="I379" s="1"/>
      <c r="J379" s="1"/>
      <c r="K379" s="1"/>
      <c r="L379" s="1"/>
      <c r="M379" s="1"/>
      <c r="N379" s="530"/>
      <c r="O379" s="530"/>
      <c r="P379" s="530"/>
      <c r="Q379" s="530"/>
      <c r="R379" s="2"/>
      <c r="S379" s="1"/>
      <c r="T379" s="2"/>
    </row>
    <row r="380" spans="2:20" s="3" customFormat="1" ht="12" customHeight="1">
      <c r="B380" s="1"/>
      <c r="C380" s="1"/>
      <c r="D380" s="1"/>
      <c r="E380" s="1"/>
      <c r="F380" s="1"/>
      <c r="G380" s="1"/>
      <c r="H380" s="1"/>
      <c r="I380" s="1"/>
      <c r="J380" s="1"/>
      <c r="K380" s="1"/>
      <c r="L380" s="1"/>
      <c r="M380" s="1"/>
      <c r="N380" s="530"/>
      <c r="O380" s="530"/>
      <c r="P380" s="530"/>
      <c r="Q380" s="530"/>
      <c r="R380" s="2"/>
      <c r="S380" s="1"/>
      <c r="T380" s="2"/>
    </row>
    <row r="381" spans="2:20" s="3" customFormat="1" ht="12" customHeight="1">
      <c r="B381" s="1"/>
      <c r="C381" s="1"/>
      <c r="D381" s="1"/>
      <c r="E381" s="1"/>
      <c r="F381" s="1"/>
      <c r="G381" s="1"/>
      <c r="H381" s="1"/>
      <c r="I381" s="1"/>
      <c r="J381" s="1"/>
      <c r="K381" s="1"/>
      <c r="L381" s="1"/>
      <c r="M381" s="1"/>
      <c r="N381" s="530"/>
      <c r="O381" s="530"/>
      <c r="P381" s="530"/>
      <c r="Q381" s="530"/>
      <c r="R381" s="2"/>
      <c r="S381" s="1"/>
      <c r="T381" s="2"/>
    </row>
    <row r="382" spans="2:20" s="3" customFormat="1" ht="12" customHeight="1">
      <c r="B382" s="1"/>
      <c r="C382" s="1"/>
      <c r="D382" s="1"/>
      <c r="E382" s="1"/>
      <c r="F382" s="1"/>
      <c r="G382" s="1"/>
      <c r="H382" s="1"/>
      <c r="I382" s="1"/>
      <c r="J382" s="1"/>
      <c r="K382" s="1"/>
      <c r="L382" s="1"/>
      <c r="M382" s="1"/>
      <c r="N382" s="530"/>
      <c r="O382" s="530"/>
      <c r="P382" s="530"/>
      <c r="Q382" s="530"/>
      <c r="R382" s="2"/>
      <c r="S382" s="1"/>
      <c r="T382" s="2"/>
    </row>
    <row r="383" spans="2:20" s="3" customFormat="1" ht="12" customHeight="1">
      <c r="B383" s="1"/>
      <c r="C383" s="1"/>
      <c r="D383" s="1"/>
      <c r="E383" s="1"/>
      <c r="F383" s="1"/>
      <c r="G383" s="1"/>
      <c r="H383" s="1"/>
      <c r="I383" s="1"/>
      <c r="J383" s="1"/>
      <c r="K383" s="1"/>
      <c r="L383" s="1"/>
      <c r="M383" s="1"/>
      <c r="N383" s="530"/>
      <c r="O383" s="530"/>
      <c r="P383" s="530"/>
      <c r="Q383" s="530"/>
      <c r="R383" s="2"/>
      <c r="S383" s="1"/>
      <c r="T383" s="2"/>
    </row>
    <row r="384" spans="2:20" s="3" customFormat="1" ht="12" customHeight="1">
      <c r="B384" s="1"/>
      <c r="C384" s="1"/>
      <c r="D384" s="1"/>
      <c r="E384" s="1"/>
      <c r="F384" s="1"/>
      <c r="G384" s="1"/>
      <c r="H384" s="1"/>
      <c r="I384" s="1"/>
      <c r="J384" s="1"/>
      <c r="K384" s="1"/>
      <c r="L384" s="1"/>
      <c r="M384" s="1"/>
      <c r="N384" s="530"/>
      <c r="O384" s="530"/>
      <c r="P384" s="530"/>
      <c r="Q384" s="530"/>
      <c r="R384" s="2"/>
      <c r="S384" s="1"/>
      <c r="T384" s="2"/>
    </row>
    <row r="385" spans="2:20" s="3" customFormat="1" ht="12" customHeight="1">
      <c r="B385" s="1"/>
      <c r="C385" s="1"/>
      <c r="D385" s="1"/>
      <c r="E385" s="1"/>
      <c r="F385" s="1"/>
      <c r="G385" s="1"/>
      <c r="H385" s="1"/>
      <c r="I385" s="1"/>
      <c r="J385" s="1"/>
      <c r="K385" s="1"/>
      <c r="L385" s="1"/>
      <c r="M385" s="1"/>
      <c r="N385" s="530"/>
      <c r="O385" s="530"/>
      <c r="P385" s="530"/>
      <c r="Q385" s="530"/>
      <c r="R385" s="2"/>
      <c r="S385" s="1"/>
      <c r="T385" s="2"/>
    </row>
    <row r="386" spans="2:20" s="3" customFormat="1" ht="12" customHeight="1">
      <c r="B386" s="1"/>
      <c r="C386" s="1"/>
      <c r="D386" s="1"/>
      <c r="E386" s="1"/>
      <c r="F386" s="1"/>
      <c r="G386" s="1"/>
      <c r="H386" s="1"/>
      <c r="I386" s="1"/>
      <c r="J386" s="1"/>
      <c r="K386" s="1"/>
      <c r="L386" s="1"/>
      <c r="M386" s="1"/>
      <c r="N386" s="530"/>
      <c r="O386" s="530"/>
      <c r="P386" s="530"/>
      <c r="Q386" s="530"/>
      <c r="R386" s="2"/>
      <c r="S386" s="1"/>
      <c r="T386" s="2"/>
    </row>
    <row r="387" spans="2:20" s="3" customFormat="1" ht="12" customHeight="1">
      <c r="B387" s="1"/>
      <c r="C387" s="1"/>
      <c r="D387" s="1"/>
      <c r="E387" s="1"/>
      <c r="F387" s="1"/>
      <c r="G387" s="1"/>
      <c r="H387" s="1"/>
      <c r="I387" s="1"/>
      <c r="J387" s="1"/>
      <c r="K387" s="1"/>
      <c r="L387" s="1"/>
      <c r="M387" s="1"/>
      <c r="N387" s="530"/>
      <c r="O387" s="530"/>
      <c r="P387" s="530"/>
      <c r="Q387" s="530"/>
      <c r="R387" s="2"/>
      <c r="S387" s="1"/>
      <c r="T387" s="2"/>
    </row>
    <row r="388" spans="2:20" s="3" customFormat="1" ht="12" customHeight="1">
      <c r="B388" s="1"/>
      <c r="C388" s="1"/>
      <c r="D388" s="1"/>
      <c r="E388" s="1"/>
      <c r="F388" s="1"/>
      <c r="G388" s="1"/>
      <c r="H388" s="1"/>
      <c r="I388" s="1"/>
      <c r="J388" s="1"/>
      <c r="K388" s="1"/>
      <c r="L388" s="1"/>
      <c r="M388" s="1"/>
      <c r="N388" s="530"/>
      <c r="O388" s="530"/>
      <c r="P388" s="530"/>
      <c r="Q388" s="530"/>
      <c r="R388" s="2"/>
      <c r="S388" s="1"/>
      <c r="T388" s="2"/>
    </row>
    <row r="389" spans="2:20" s="3" customFormat="1" ht="12" customHeight="1">
      <c r="B389" s="1"/>
      <c r="C389" s="1"/>
      <c r="D389" s="1"/>
      <c r="E389" s="1"/>
      <c r="F389" s="1"/>
      <c r="G389" s="1"/>
      <c r="H389" s="1"/>
      <c r="I389" s="1"/>
      <c r="J389" s="1"/>
      <c r="K389" s="1"/>
      <c r="L389" s="1"/>
      <c r="M389" s="1"/>
      <c r="N389" s="530"/>
      <c r="O389" s="530"/>
      <c r="P389" s="530"/>
      <c r="Q389" s="530"/>
      <c r="R389" s="2"/>
      <c r="S389" s="1"/>
      <c r="T389" s="2"/>
    </row>
    <row r="390" spans="2:20" s="3" customFormat="1" ht="12" customHeight="1">
      <c r="B390" s="1"/>
      <c r="C390" s="1"/>
      <c r="D390" s="1"/>
      <c r="E390" s="1"/>
      <c r="F390" s="1"/>
      <c r="G390" s="1"/>
      <c r="H390" s="1"/>
      <c r="I390" s="1"/>
      <c r="J390" s="1"/>
      <c r="K390" s="1"/>
      <c r="L390" s="1"/>
      <c r="M390" s="1"/>
      <c r="N390" s="530"/>
      <c r="O390" s="530"/>
      <c r="P390" s="530"/>
      <c r="Q390" s="530"/>
      <c r="R390" s="2"/>
      <c r="S390" s="1"/>
      <c r="T390" s="2"/>
    </row>
    <row r="391" spans="2:20" s="3" customFormat="1" ht="12" customHeight="1">
      <c r="B391" s="1"/>
      <c r="C391" s="1"/>
      <c r="D391" s="1"/>
      <c r="E391" s="1"/>
      <c r="F391" s="1"/>
      <c r="G391" s="1"/>
      <c r="H391" s="1"/>
      <c r="I391" s="1"/>
      <c r="J391" s="1"/>
      <c r="K391" s="1"/>
      <c r="L391" s="1"/>
      <c r="M391" s="1"/>
      <c r="N391" s="530"/>
      <c r="O391" s="530"/>
      <c r="P391" s="530"/>
      <c r="Q391" s="530"/>
      <c r="R391" s="2"/>
      <c r="S391" s="1"/>
      <c r="T391" s="2"/>
    </row>
    <row r="392" spans="2:20" s="3" customFormat="1" ht="12" customHeight="1">
      <c r="B392" s="1"/>
      <c r="C392" s="1"/>
      <c r="D392" s="1"/>
      <c r="E392" s="1"/>
      <c r="F392" s="1"/>
      <c r="G392" s="1"/>
      <c r="H392" s="1"/>
      <c r="I392" s="1"/>
      <c r="J392" s="1"/>
      <c r="K392" s="1"/>
      <c r="L392" s="1"/>
      <c r="M392" s="1"/>
      <c r="N392" s="530"/>
      <c r="O392" s="530"/>
      <c r="P392" s="530"/>
      <c r="Q392" s="530"/>
      <c r="R392" s="2"/>
      <c r="S392" s="1"/>
      <c r="T392" s="2"/>
    </row>
    <row r="393" spans="2:20" s="3" customFormat="1" ht="12" customHeight="1">
      <c r="B393" s="1"/>
      <c r="C393" s="1"/>
      <c r="D393" s="1"/>
      <c r="E393" s="1"/>
      <c r="F393" s="1"/>
      <c r="G393" s="1"/>
      <c r="H393" s="1"/>
      <c r="I393" s="1"/>
      <c r="J393" s="1"/>
      <c r="K393" s="1"/>
      <c r="L393" s="1"/>
      <c r="M393" s="1"/>
      <c r="N393" s="530"/>
      <c r="O393" s="530"/>
      <c r="P393" s="530"/>
      <c r="Q393" s="530"/>
      <c r="R393" s="2"/>
      <c r="S393" s="1"/>
      <c r="T393" s="2"/>
    </row>
    <row r="394" spans="2:20" s="3" customFormat="1" ht="12" customHeight="1">
      <c r="B394" s="1"/>
      <c r="C394" s="1"/>
      <c r="D394" s="1"/>
      <c r="E394" s="1"/>
      <c r="F394" s="1"/>
      <c r="G394" s="1"/>
      <c r="H394" s="1"/>
      <c r="I394" s="1"/>
      <c r="J394" s="1"/>
      <c r="K394" s="1"/>
      <c r="L394" s="1"/>
      <c r="M394" s="1"/>
      <c r="N394" s="530"/>
      <c r="O394" s="530"/>
      <c r="P394" s="530"/>
      <c r="Q394" s="530"/>
      <c r="R394" s="2"/>
      <c r="S394" s="1"/>
      <c r="T394" s="2"/>
    </row>
    <row r="395" spans="2:20" s="3" customFormat="1" ht="12" customHeight="1">
      <c r="B395" s="1"/>
      <c r="C395" s="1"/>
      <c r="D395" s="1"/>
      <c r="E395" s="1"/>
      <c r="F395" s="1"/>
      <c r="G395" s="1"/>
      <c r="H395" s="1"/>
      <c r="I395" s="1"/>
      <c r="J395" s="1"/>
      <c r="K395" s="1"/>
      <c r="L395" s="1"/>
      <c r="M395" s="1"/>
      <c r="N395" s="530"/>
      <c r="O395" s="530"/>
      <c r="P395" s="530"/>
      <c r="Q395" s="530"/>
      <c r="R395" s="2"/>
      <c r="S395" s="1"/>
      <c r="T395" s="2"/>
    </row>
    <row r="396" spans="2:20" s="3" customFormat="1" ht="12" customHeight="1">
      <c r="B396" s="1"/>
      <c r="C396" s="1"/>
      <c r="D396" s="1"/>
      <c r="E396" s="1"/>
      <c r="F396" s="1"/>
      <c r="G396" s="1"/>
      <c r="H396" s="1"/>
      <c r="I396" s="1"/>
      <c r="J396" s="1"/>
      <c r="K396" s="1"/>
      <c r="L396" s="1"/>
      <c r="M396" s="1"/>
      <c r="N396" s="530"/>
      <c r="O396" s="530"/>
      <c r="P396" s="530"/>
      <c r="Q396" s="530"/>
      <c r="R396" s="2"/>
      <c r="S396" s="1"/>
      <c r="T396" s="2"/>
    </row>
    <row r="397" spans="2:20" s="3" customFormat="1" ht="12" customHeight="1">
      <c r="B397" s="1"/>
      <c r="C397" s="1"/>
      <c r="D397" s="1"/>
      <c r="E397" s="1"/>
      <c r="F397" s="1"/>
      <c r="G397" s="1"/>
      <c r="H397" s="1"/>
      <c r="I397" s="1"/>
      <c r="J397" s="1"/>
      <c r="K397" s="1"/>
      <c r="L397" s="1"/>
      <c r="M397" s="1"/>
      <c r="N397" s="530"/>
      <c r="O397" s="530"/>
      <c r="P397" s="530"/>
      <c r="Q397" s="530"/>
      <c r="R397" s="2"/>
      <c r="S397" s="1"/>
      <c r="T397" s="2"/>
    </row>
    <row r="398" spans="2:20" s="3" customFormat="1" ht="12" customHeight="1">
      <c r="B398" s="1"/>
      <c r="C398" s="1"/>
      <c r="D398" s="1"/>
      <c r="E398" s="1"/>
      <c r="F398" s="1"/>
      <c r="G398" s="1"/>
      <c r="H398" s="1"/>
      <c r="I398" s="1"/>
      <c r="J398" s="1"/>
      <c r="K398" s="1"/>
      <c r="L398" s="1"/>
      <c r="M398" s="1"/>
      <c r="N398" s="530"/>
      <c r="O398" s="530"/>
      <c r="P398" s="530"/>
      <c r="Q398" s="530"/>
      <c r="R398" s="2"/>
      <c r="S398" s="1"/>
      <c r="T398" s="2"/>
    </row>
    <row r="399" spans="2:20" s="3" customFormat="1" ht="12" customHeight="1">
      <c r="B399" s="1"/>
      <c r="C399" s="1"/>
      <c r="D399" s="1"/>
      <c r="E399" s="1"/>
      <c r="F399" s="1"/>
      <c r="G399" s="1"/>
      <c r="H399" s="1"/>
      <c r="I399" s="1"/>
      <c r="J399" s="1"/>
      <c r="K399" s="1"/>
      <c r="L399" s="1"/>
      <c r="M399" s="1"/>
      <c r="N399" s="530"/>
      <c r="O399" s="530"/>
      <c r="P399" s="530"/>
      <c r="Q399" s="530"/>
      <c r="R399" s="2"/>
      <c r="S399" s="1"/>
      <c r="T399" s="2"/>
    </row>
    <row r="400" spans="2:20" s="3" customFormat="1" ht="12" customHeight="1">
      <c r="B400" s="1"/>
      <c r="C400" s="1"/>
      <c r="D400" s="1"/>
      <c r="E400" s="1"/>
      <c r="F400" s="1"/>
      <c r="G400" s="1"/>
      <c r="H400" s="1"/>
      <c r="I400" s="1"/>
      <c r="J400" s="1"/>
      <c r="K400" s="1"/>
      <c r="L400" s="1"/>
      <c r="M400" s="1"/>
      <c r="N400" s="530"/>
      <c r="O400" s="530"/>
      <c r="P400" s="530"/>
      <c r="Q400" s="530"/>
      <c r="R400" s="2"/>
      <c r="S400" s="1"/>
      <c r="T400" s="2"/>
    </row>
    <row r="401" spans="2:20" s="3" customFormat="1" ht="12" customHeight="1">
      <c r="B401" s="1"/>
      <c r="C401" s="1"/>
      <c r="D401" s="1"/>
      <c r="E401" s="1"/>
      <c r="F401" s="1"/>
      <c r="G401" s="1"/>
      <c r="H401" s="1"/>
      <c r="I401" s="1"/>
      <c r="J401" s="1"/>
      <c r="K401" s="1"/>
      <c r="L401" s="1"/>
      <c r="M401" s="1"/>
      <c r="N401" s="530"/>
      <c r="O401" s="530"/>
      <c r="P401" s="530"/>
      <c r="Q401" s="530"/>
      <c r="R401" s="2"/>
      <c r="S401" s="1"/>
      <c r="T401" s="2"/>
    </row>
    <row r="402" spans="2:20" s="3" customFormat="1" ht="12" customHeight="1">
      <c r="B402" s="1"/>
      <c r="C402" s="1"/>
      <c r="D402" s="1"/>
      <c r="E402" s="1"/>
      <c r="F402" s="1"/>
      <c r="G402" s="1"/>
      <c r="H402" s="1"/>
      <c r="I402" s="1"/>
      <c r="J402" s="1"/>
      <c r="K402" s="1"/>
      <c r="L402" s="1"/>
      <c r="M402" s="1"/>
      <c r="N402" s="530"/>
      <c r="O402" s="530"/>
      <c r="P402" s="530"/>
      <c r="Q402" s="530"/>
      <c r="R402" s="2"/>
      <c r="S402" s="1"/>
      <c r="T402" s="2"/>
    </row>
    <row r="403" spans="2:20" s="3" customFormat="1" ht="12" customHeight="1">
      <c r="B403" s="1"/>
      <c r="C403" s="1"/>
      <c r="D403" s="1"/>
      <c r="E403" s="1"/>
      <c r="F403" s="1"/>
      <c r="G403" s="1"/>
      <c r="H403" s="1"/>
      <c r="I403" s="1"/>
      <c r="J403" s="1"/>
      <c r="K403" s="1"/>
      <c r="L403" s="1"/>
      <c r="M403" s="1"/>
      <c r="N403" s="530"/>
      <c r="O403" s="530"/>
      <c r="P403" s="530"/>
      <c r="Q403" s="530"/>
      <c r="R403" s="2"/>
      <c r="S403" s="1"/>
      <c r="T403" s="2"/>
    </row>
    <row r="404" spans="2:20" s="3" customFormat="1" ht="12" customHeight="1">
      <c r="B404" s="1"/>
      <c r="C404" s="1"/>
      <c r="D404" s="1"/>
      <c r="E404" s="1"/>
      <c r="F404" s="1"/>
      <c r="G404" s="1"/>
      <c r="H404" s="1"/>
      <c r="I404" s="1"/>
      <c r="J404" s="1"/>
      <c r="K404" s="1"/>
      <c r="L404" s="1"/>
      <c r="M404" s="1"/>
      <c r="N404" s="530"/>
      <c r="O404" s="530"/>
      <c r="P404" s="530"/>
      <c r="Q404" s="530"/>
      <c r="R404" s="2"/>
      <c r="S404" s="1"/>
      <c r="T404" s="2"/>
    </row>
    <row r="405" spans="2:20" s="3" customFormat="1" ht="12" customHeight="1">
      <c r="B405" s="1"/>
      <c r="C405" s="1"/>
      <c r="D405" s="1"/>
      <c r="E405" s="1"/>
      <c r="F405" s="1"/>
      <c r="G405" s="1"/>
      <c r="H405" s="1"/>
      <c r="I405" s="1"/>
      <c r="J405" s="1"/>
      <c r="K405" s="1"/>
      <c r="L405" s="1"/>
      <c r="M405" s="1"/>
      <c r="N405" s="530"/>
      <c r="O405" s="530"/>
      <c r="P405" s="530"/>
      <c r="Q405" s="530"/>
      <c r="R405" s="2"/>
      <c r="S405" s="1"/>
      <c r="T405" s="2"/>
    </row>
    <row r="406" spans="2:20" s="3" customFormat="1" ht="12" customHeight="1">
      <c r="B406" s="1"/>
      <c r="C406" s="1"/>
      <c r="D406" s="1"/>
      <c r="E406" s="1"/>
      <c r="F406" s="1"/>
      <c r="G406" s="1"/>
      <c r="H406" s="1"/>
      <c r="I406" s="1"/>
      <c r="J406" s="1"/>
      <c r="K406" s="1"/>
      <c r="L406" s="1"/>
      <c r="M406" s="1"/>
      <c r="N406" s="530"/>
      <c r="O406" s="530"/>
      <c r="P406" s="530"/>
      <c r="Q406" s="530"/>
      <c r="R406" s="2"/>
      <c r="S406" s="1"/>
      <c r="T406" s="2"/>
    </row>
    <row r="407" spans="2:20" s="3" customFormat="1" ht="12" customHeight="1">
      <c r="B407" s="1"/>
      <c r="C407" s="1"/>
      <c r="D407" s="1"/>
      <c r="E407" s="1"/>
      <c r="F407" s="1"/>
      <c r="G407" s="1"/>
      <c r="H407" s="1"/>
      <c r="I407" s="1"/>
      <c r="J407" s="1"/>
      <c r="K407" s="1"/>
      <c r="L407" s="1"/>
      <c r="M407" s="1"/>
      <c r="N407" s="530"/>
      <c r="O407" s="530"/>
      <c r="P407" s="530"/>
      <c r="Q407" s="530"/>
      <c r="R407" s="2"/>
      <c r="S407" s="1"/>
      <c r="T407" s="2"/>
    </row>
    <row r="408" spans="2:20" s="3" customFormat="1" ht="12" customHeight="1">
      <c r="B408" s="1"/>
      <c r="C408" s="1"/>
      <c r="D408" s="1"/>
      <c r="E408" s="1"/>
      <c r="F408" s="1"/>
      <c r="G408" s="1"/>
      <c r="H408" s="1"/>
      <c r="I408" s="1"/>
      <c r="J408" s="1"/>
      <c r="K408" s="1"/>
      <c r="L408" s="1"/>
      <c r="M408" s="1"/>
      <c r="N408" s="530"/>
      <c r="O408" s="530"/>
      <c r="P408" s="530"/>
      <c r="Q408" s="530"/>
      <c r="R408" s="2"/>
      <c r="S408" s="1"/>
      <c r="T408" s="2"/>
    </row>
    <row r="409" spans="2:20" s="3" customFormat="1" ht="12" customHeight="1">
      <c r="B409" s="1"/>
      <c r="C409" s="1"/>
      <c r="D409" s="1"/>
      <c r="E409" s="1"/>
      <c r="F409" s="1"/>
      <c r="G409" s="1"/>
      <c r="H409" s="1"/>
      <c r="I409" s="1"/>
      <c r="J409" s="1"/>
      <c r="K409" s="1"/>
      <c r="L409" s="1"/>
      <c r="M409" s="1"/>
      <c r="N409" s="530"/>
      <c r="O409" s="530"/>
      <c r="P409" s="530"/>
      <c r="Q409" s="530"/>
      <c r="R409" s="2"/>
      <c r="S409" s="1"/>
      <c r="T409" s="2"/>
    </row>
    <row r="410" spans="2:20" s="3" customFormat="1" ht="12" customHeight="1">
      <c r="B410" s="1"/>
      <c r="C410" s="1"/>
      <c r="D410" s="1"/>
      <c r="E410" s="1"/>
      <c r="F410" s="1"/>
      <c r="G410" s="1"/>
      <c r="H410" s="1"/>
      <c r="I410" s="1"/>
      <c r="J410" s="1"/>
      <c r="K410" s="1"/>
      <c r="L410" s="1"/>
      <c r="M410" s="1"/>
      <c r="N410" s="530"/>
      <c r="O410" s="530"/>
      <c r="P410" s="530"/>
      <c r="Q410" s="530"/>
      <c r="R410" s="2"/>
      <c r="S410" s="1"/>
      <c r="T410" s="2"/>
    </row>
    <row r="411" spans="2:20" s="3" customFormat="1" ht="12" customHeight="1">
      <c r="B411" s="1"/>
      <c r="C411" s="1"/>
      <c r="D411" s="1"/>
      <c r="E411" s="1"/>
      <c r="F411" s="1"/>
      <c r="G411" s="1"/>
      <c r="H411" s="1"/>
      <c r="I411" s="1"/>
      <c r="J411" s="1"/>
      <c r="K411" s="1"/>
      <c r="L411" s="1"/>
      <c r="M411" s="1"/>
      <c r="N411" s="530"/>
      <c r="O411" s="530"/>
      <c r="P411" s="530"/>
      <c r="Q411" s="530"/>
      <c r="R411" s="2"/>
      <c r="S411" s="1"/>
      <c r="T411" s="2"/>
    </row>
    <row r="412" spans="2:20" s="3" customFormat="1" ht="12" customHeight="1">
      <c r="B412" s="1"/>
      <c r="C412" s="1"/>
      <c r="D412" s="1"/>
      <c r="E412" s="1"/>
      <c r="F412" s="1"/>
      <c r="G412" s="1"/>
      <c r="H412" s="1"/>
      <c r="I412" s="1"/>
      <c r="J412" s="1"/>
      <c r="K412" s="1"/>
      <c r="L412" s="1"/>
      <c r="M412" s="1"/>
      <c r="N412" s="530"/>
      <c r="O412" s="530"/>
      <c r="P412" s="530"/>
      <c r="Q412" s="530"/>
      <c r="R412" s="2"/>
      <c r="S412" s="1"/>
      <c r="T412" s="2"/>
    </row>
    <row r="413" spans="2:20" s="3" customFormat="1" ht="12" customHeight="1">
      <c r="B413" s="1"/>
      <c r="C413" s="1"/>
      <c r="D413" s="1"/>
      <c r="E413" s="1"/>
      <c r="F413" s="1"/>
      <c r="G413" s="1"/>
      <c r="H413" s="1"/>
      <c r="I413" s="1"/>
      <c r="J413" s="1"/>
      <c r="K413" s="1"/>
      <c r="L413" s="1"/>
      <c r="M413" s="1"/>
      <c r="N413" s="530"/>
      <c r="O413" s="530"/>
      <c r="P413" s="530"/>
      <c r="Q413" s="530"/>
      <c r="R413" s="2"/>
      <c r="S413" s="1"/>
      <c r="T413" s="2"/>
    </row>
    <row r="414" spans="2:20" s="3" customFormat="1" ht="12" customHeight="1">
      <c r="B414" s="1"/>
      <c r="C414" s="1"/>
      <c r="D414" s="1"/>
      <c r="E414" s="1"/>
      <c r="F414" s="1"/>
      <c r="G414" s="1"/>
      <c r="H414" s="1"/>
      <c r="I414" s="1"/>
      <c r="J414" s="1"/>
      <c r="K414" s="1"/>
      <c r="L414" s="1"/>
      <c r="M414" s="1"/>
      <c r="N414" s="530"/>
      <c r="O414" s="530"/>
      <c r="P414" s="530"/>
      <c r="Q414" s="530"/>
      <c r="R414" s="2"/>
      <c r="S414" s="1"/>
      <c r="T414" s="2"/>
    </row>
    <row r="415" spans="2:20" s="3" customFormat="1" ht="12" customHeight="1">
      <c r="B415" s="1"/>
      <c r="C415" s="1"/>
      <c r="D415" s="1"/>
      <c r="E415" s="1"/>
      <c r="F415" s="1"/>
      <c r="G415" s="1"/>
      <c r="H415" s="1"/>
      <c r="I415" s="1"/>
      <c r="J415" s="1"/>
      <c r="K415" s="1"/>
      <c r="L415" s="1"/>
      <c r="M415" s="1"/>
      <c r="N415" s="530"/>
      <c r="O415" s="530"/>
      <c r="P415" s="530"/>
      <c r="Q415" s="530"/>
      <c r="R415" s="2"/>
      <c r="S415" s="1"/>
      <c r="T415" s="2"/>
    </row>
    <row r="416" spans="2:20" s="3" customFormat="1" ht="12" customHeight="1">
      <c r="B416" s="1"/>
      <c r="C416" s="1"/>
      <c r="D416" s="1"/>
      <c r="E416" s="1"/>
      <c r="F416" s="1"/>
      <c r="G416" s="1"/>
      <c r="H416" s="1"/>
      <c r="I416" s="1"/>
      <c r="J416" s="1"/>
      <c r="K416" s="1"/>
      <c r="L416" s="1"/>
      <c r="M416" s="1"/>
      <c r="N416" s="530"/>
      <c r="O416" s="530"/>
      <c r="P416" s="530"/>
      <c r="Q416" s="530"/>
      <c r="R416" s="2"/>
      <c r="S416" s="1"/>
      <c r="T416" s="2"/>
    </row>
    <row r="417" spans="2:20" s="3" customFormat="1" ht="12" customHeight="1">
      <c r="B417" s="1"/>
      <c r="C417" s="1"/>
      <c r="D417" s="1"/>
      <c r="E417" s="1"/>
      <c r="F417" s="1"/>
      <c r="G417" s="1"/>
      <c r="H417" s="1"/>
      <c r="I417" s="1"/>
      <c r="J417" s="1"/>
      <c r="K417" s="1"/>
      <c r="L417" s="1"/>
      <c r="M417" s="1"/>
      <c r="N417" s="530"/>
      <c r="O417" s="530"/>
      <c r="P417" s="530"/>
      <c r="Q417" s="530"/>
      <c r="R417" s="2"/>
      <c r="S417" s="1"/>
      <c r="T417" s="2"/>
    </row>
    <row r="418" spans="2:20" s="3" customFormat="1" ht="12" customHeight="1">
      <c r="B418" s="1"/>
      <c r="C418" s="1"/>
      <c r="D418" s="1"/>
      <c r="E418" s="1"/>
      <c r="F418" s="1"/>
      <c r="G418" s="1"/>
      <c r="H418" s="1"/>
      <c r="I418" s="1"/>
      <c r="J418" s="1"/>
      <c r="K418" s="1"/>
      <c r="L418" s="1"/>
      <c r="M418" s="1"/>
      <c r="N418" s="530"/>
      <c r="O418" s="530"/>
      <c r="P418" s="530"/>
      <c r="Q418" s="530"/>
      <c r="R418" s="2"/>
      <c r="S418" s="1"/>
      <c r="T418" s="2"/>
    </row>
    <row r="419" spans="2:20" s="3" customFormat="1" ht="12" customHeight="1">
      <c r="B419" s="1"/>
      <c r="C419" s="1"/>
      <c r="D419" s="1"/>
      <c r="E419" s="1"/>
      <c r="F419" s="1"/>
      <c r="G419" s="1"/>
      <c r="H419" s="1"/>
      <c r="I419" s="1"/>
      <c r="J419" s="1"/>
      <c r="K419" s="1"/>
      <c r="L419" s="1"/>
      <c r="M419" s="1"/>
      <c r="N419" s="530"/>
      <c r="O419" s="530"/>
      <c r="P419" s="530"/>
      <c r="Q419" s="530"/>
      <c r="R419" s="2"/>
      <c r="S419" s="1"/>
      <c r="T419" s="2"/>
    </row>
    <row r="420" spans="2:20" s="3" customFormat="1" ht="12" customHeight="1">
      <c r="B420" s="1"/>
      <c r="C420" s="1"/>
      <c r="D420" s="1"/>
      <c r="E420" s="1"/>
      <c r="F420" s="1"/>
      <c r="G420" s="1"/>
      <c r="H420" s="1"/>
      <c r="I420" s="1"/>
      <c r="J420" s="1"/>
      <c r="K420" s="1"/>
      <c r="L420" s="1"/>
      <c r="M420" s="1"/>
      <c r="N420" s="530"/>
      <c r="O420" s="530"/>
      <c r="P420" s="530"/>
      <c r="Q420" s="530"/>
      <c r="R420" s="2"/>
      <c r="S420" s="1"/>
      <c r="T420" s="2"/>
    </row>
    <row r="421" spans="2:20" s="3" customFormat="1" ht="12" customHeight="1">
      <c r="B421" s="1"/>
      <c r="C421" s="1"/>
      <c r="D421" s="1"/>
      <c r="E421" s="1"/>
      <c r="F421" s="1"/>
      <c r="G421" s="1"/>
      <c r="H421" s="1"/>
      <c r="I421" s="1"/>
      <c r="J421" s="1"/>
      <c r="K421" s="1"/>
      <c r="L421" s="1"/>
      <c r="M421" s="1"/>
      <c r="N421" s="530"/>
      <c r="O421" s="530"/>
      <c r="P421" s="530"/>
      <c r="Q421" s="530"/>
      <c r="R421" s="2"/>
      <c r="S421" s="1"/>
      <c r="T421" s="2"/>
    </row>
    <row r="422" spans="2:20" s="3" customFormat="1" ht="12" customHeight="1">
      <c r="B422" s="1"/>
      <c r="C422" s="1"/>
      <c r="D422" s="1"/>
      <c r="E422" s="1"/>
      <c r="F422" s="1"/>
      <c r="G422" s="1"/>
      <c r="H422" s="1"/>
      <c r="I422" s="1"/>
      <c r="J422" s="1"/>
      <c r="K422" s="1"/>
      <c r="L422" s="1"/>
      <c r="M422" s="1"/>
      <c r="N422" s="530"/>
      <c r="O422" s="530"/>
      <c r="P422" s="530"/>
      <c r="Q422" s="530"/>
      <c r="R422" s="2"/>
      <c r="S422" s="1"/>
      <c r="T422" s="2"/>
    </row>
    <row r="423" spans="2:20" s="3" customFormat="1" ht="12" customHeight="1">
      <c r="B423" s="1"/>
      <c r="C423" s="1"/>
      <c r="D423" s="1"/>
      <c r="E423" s="1"/>
      <c r="F423" s="1"/>
      <c r="G423" s="1"/>
      <c r="H423" s="1"/>
      <c r="I423" s="1"/>
      <c r="J423" s="1"/>
      <c r="K423" s="1"/>
      <c r="L423" s="1"/>
      <c r="M423" s="1"/>
      <c r="N423" s="530"/>
      <c r="O423" s="530"/>
      <c r="P423" s="530"/>
      <c r="Q423" s="530"/>
      <c r="R423" s="2"/>
      <c r="S423" s="1"/>
      <c r="T423" s="2"/>
    </row>
    <row r="424" spans="2:20" s="3" customFormat="1" ht="12" customHeight="1">
      <c r="B424" s="1"/>
      <c r="C424" s="1"/>
      <c r="D424" s="1"/>
      <c r="E424" s="1"/>
      <c r="F424" s="1"/>
      <c r="G424" s="1"/>
      <c r="H424" s="1"/>
      <c r="I424" s="1"/>
      <c r="J424" s="1"/>
      <c r="K424" s="1"/>
      <c r="L424" s="1"/>
      <c r="M424" s="1"/>
      <c r="N424" s="530"/>
      <c r="O424" s="530"/>
      <c r="P424" s="530"/>
      <c r="Q424" s="530"/>
      <c r="R424" s="2"/>
      <c r="S424" s="1"/>
      <c r="T424" s="2"/>
    </row>
    <row r="425" spans="2:20" s="3" customFormat="1" ht="12" customHeight="1">
      <c r="B425" s="1"/>
      <c r="C425" s="1"/>
      <c r="D425" s="1"/>
      <c r="E425" s="1"/>
      <c r="F425" s="1"/>
      <c r="G425" s="1"/>
      <c r="H425" s="1"/>
      <c r="I425" s="1"/>
      <c r="J425" s="1"/>
      <c r="K425" s="1"/>
      <c r="L425" s="1"/>
      <c r="M425" s="1"/>
      <c r="N425" s="530"/>
      <c r="O425" s="530"/>
      <c r="P425" s="530"/>
      <c r="Q425" s="530"/>
      <c r="R425" s="2"/>
      <c r="S425" s="1"/>
      <c r="T425" s="2"/>
    </row>
    <row r="426" spans="2:20" s="3" customFormat="1" ht="12" customHeight="1">
      <c r="B426" s="1"/>
      <c r="C426" s="1"/>
      <c r="D426" s="1"/>
      <c r="E426" s="1"/>
      <c r="F426" s="1"/>
      <c r="G426" s="1"/>
      <c r="H426" s="1"/>
      <c r="I426" s="1"/>
      <c r="J426" s="1"/>
      <c r="K426" s="1"/>
      <c r="L426" s="1"/>
      <c r="M426" s="1"/>
      <c r="N426" s="530"/>
      <c r="O426" s="530"/>
      <c r="P426" s="530"/>
      <c r="Q426" s="530"/>
      <c r="R426" s="2"/>
      <c r="S426" s="1"/>
      <c r="T426" s="2"/>
    </row>
    <row r="427" spans="2:20" s="3" customFormat="1" ht="12" customHeight="1">
      <c r="B427" s="1"/>
      <c r="C427" s="1"/>
      <c r="D427" s="1"/>
      <c r="E427" s="1"/>
      <c r="F427" s="1"/>
      <c r="G427" s="1"/>
      <c r="H427" s="1"/>
      <c r="I427" s="1"/>
      <c r="J427" s="1"/>
      <c r="K427" s="1"/>
      <c r="L427" s="1"/>
      <c r="M427" s="1"/>
      <c r="N427" s="530"/>
      <c r="O427" s="530"/>
      <c r="P427" s="530"/>
      <c r="Q427" s="530"/>
      <c r="R427" s="2"/>
      <c r="S427" s="1"/>
      <c r="T427" s="2"/>
    </row>
    <row r="428" spans="2:20" s="3" customFormat="1" ht="12" customHeight="1">
      <c r="B428" s="1"/>
      <c r="C428" s="1"/>
      <c r="D428" s="1"/>
      <c r="E428" s="1"/>
      <c r="F428" s="1"/>
      <c r="G428" s="1"/>
      <c r="H428" s="1"/>
      <c r="I428" s="1"/>
      <c r="J428" s="1"/>
      <c r="K428" s="1"/>
      <c r="L428" s="1"/>
      <c r="M428" s="1"/>
      <c r="N428" s="530"/>
      <c r="O428" s="530"/>
      <c r="P428" s="530"/>
      <c r="Q428" s="530"/>
      <c r="R428" s="2"/>
      <c r="S428" s="1"/>
      <c r="T428" s="2"/>
    </row>
    <row r="429" spans="2:20" s="3" customFormat="1" ht="12" customHeight="1">
      <c r="B429" s="1"/>
      <c r="C429" s="1"/>
      <c r="D429" s="1"/>
      <c r="E429" s="1"/>
      <c r="F429" s="1"/>
      <c r="G429" s="1"/>
      <c r="H429" s="1"/>
      <c r="I429" s="1"/>
      <c r="J429" s="1"/>
      <c r="K429" s="1"/>
      <c r="L429" s="1"/>
      <c r="M429" s="1"/>
      <c r="N429" s="530"/>
      <c r="O429" s="530"/>
      <c r="P429" s="530"/>
      <c r="Q429" s="530"/>
      <c r="R429" s="2"/>
      <c r="S429" s="1"/>
      <c r="T429" s="2"/>
    </row>
    <row r="430" spans="2:20" s="3" customFormat="1" ht="12" customHeight="1">
      <c r="B430" s="1"/>
      <c r="C430" s="1"/>
      <c r="D430" s="1"/>
      <c r="E430" s="1"/>
      <c r="F430" s="1"/>
      <c r="G430" s="1"/>
      <c r="H430" s="1"/>
      <c r="I430" s="1"/>
      <c r="J430" s="1"/>
      <c r="K430" s="1"/>
      <c r="L430" s="1"/>
      <c r="M430" s="1"/>
      <c r="N430" s="530"/>
      <c r="O430" s="530"/>
      <c r="P430" s="530"/>
      <c r="Q430" s="530"/>
      <c r="R430" s="2"/>
      <c r="S430" s="1"/>
      <c r="T430" s="2"/>
    </row>
    <row r="431" spans="2:20" s="3" customFormat="1" ht="12" customHeight="1">
      <c r="B431" s="1"/>
      <c r="C431" s="1"/>
      <c r="D431" s="1"/>
      <c r="E431" s="1"/>
      <c r="F431" s="1"/>
      <c r="G431" s="1"/>
      <c r="H431" s="1"/>
      <c r="I431" s="1"/>
      <c r="J431" s="1"/>
      <c r="K431" s="1"/>
      <c r="L431" s="1"/>
      <c r="M431" s="1"/>
      <c r="N431" s="530"/>
      <c r="O431" s="530"/>
      <c r="P431" s="530"/>
      <c r="Q431" s="530"/>
      <c r="R431" s="2"/>
      <c r="S431" s="1"/>
      <c r="T431" s="2"/>
    </row>
    <row r="432" spans="2:20" s="3" customFormat="1" ht="12" customHeight="1">
      <c r="B432" s="1"/>
      <c r="C432" s="1"/>
      <c r="D432" s="1"/>
      <c r="E432" s="1"/>
      <c r="F432" s="1"/>
      <c r="G432" s="1"/>
      <c r="H432" s="1"/>
      <c r="I432" s="1"/>
      <c r="J432" s="1"/>
      <c r="K432" s="1"/>
      <c r="L432" s="1"/>
      <c r="M432" s="1"/>
      <c r="N432" s="530"/>
      <c r="O432" s="530"/>
      <c r="P432" s="530"/>
      <c r="Q432" s="530"/>
      <c r="R432" s="2"/>
      <c r="S432" s="1"/>
      <c r="T432" s="2"/>
    </row>
    <row r="433" spans="2:20" s="3" customFormat="1" ht="12" customHeight="1">
      <c r="B433" s="1"/>
      <c r="C433" s="1"/>
      <c r="D433" s="1"/>
      <c r="E433" s="1"/>
      <c r="F433" s="1"/>
      <c r="G433" s="1"/>
      <c r="H433" s="1"/>
      <c r="I433" s="1"/>
      <c r="J433" s="1"/>
      <c r="K433" s="1"/>
      <c r="L433" s="1"/>
      <c r="M433" s="1"/>
      <c r="N433" s="530"/>
      <c r="O433" s="530"/>
      <c r="P433" s="530"/>
      <c r="Q433" s="530"/>
      <c r="R433" s="2"/>
      <c r="S433" s="1"/>
      <c r="T433" s="2"/>
    </row>
    <row r="434" spans="2:20" s="3" customFormat="1" ht="12" customHeight="1">
      <c r="B434" s="1"/>
      <c r="C434" s="1"/>
      <c r="D434" s="1"/>
      <c r="E434" s="1"/>
      <c r="F434" s="1"/>
      <c r="G434" s="1"/>
      <c r="H434" s="1"/>
      <c r="I434" s="1"/>
      <c r="J434" s="1"/>
      <c r="K434" s="1"/>
      <c r="L434" s="1"/>
      <c r="M434" s="1"/>
      <c r="N434" s="530"/>
      <c r="O434" s="530"/>
      <c r="P434" s="530"/>
      <c r="Q434" s="530"/>
      <c r="R434" s="2"/>
      <c r="S434" s="1"/>
      <c r="T434" s="2"/>
    </row>
    <row r="435" spans="2:20" s="3" customFormat="1" ht="12" customHeight="1">
      <c r="B435" s="1"/>
      <c r="C435" s="1"/>
      <c r="D435" s="1"/>
      <c r="E435" s="1"/>
      <c r="F435" s="1"/>
      <c r="G435" s="1"/>
      <c r="H435" s="1"/>
      <c r="I435" s="1"/>
      <c r="J435" s="1"/>
      <c r="K435" s="1"/>
      <c r="L435" s="1"/>
      <c r="M435" s="1"/>
      <c r="N435" s="530"/>
      <c r="O435" s="530"/>
      <c r="P435" s="530"/>
      <c r="Q435" s="530"/>
      <c r="R435" s="2"/>
      <c r="S435" s="1"/>
      <c r="T435" s="2"/>
    </row>
    <row r="436" spans="2:20" s="3" customFormat="1" ht="12" customHeight="1">
      <c r="B436" s="1"/>
      <c r="C436" s="1"/>
      <c r="D436" s="1"/>
      <c r="E436" s="1"/>
      <c r="F436" s="1"/>
      <c r="G436" s="1"/>
      <c r="H436" s="1"/>
      <c r="I436" s="1"/>
      <c r="J436" s="1"/>
      <c r="K436" s="1"/>
      <c r="L436" s="1"/>
      <c r="M436" s="1"/>
      <c r="N436" s="530"/>
      <c r="O436" s="530"/>
      <c r="P436" s="530"/>
      <c r="Q436" s="530"/>
      <c r="R436" s="2"/>
      <c r="S436" s="1"/>
      <c r="T436" s="2"/>
    </row>
    <row r="437" spans="2:20" s="3" customFormat="1" ht="12" customHeight="1">
      <c r="B437" s="1"/>
      <c r="C437" s="1"/>
      <c r="D437" s="1"/>
      <c r="E437" s="1"/>
      <c r="F437" s="1"/>
      <c r="G437" s="1"/>
      <c r="H437" s="1"/>
      <c r="I437" s="1"/>
      <c r="J437" s="1"/>
      <c r="K437" s="1"/>
      <c r="L437" s="1"/>
      <c r="M437" s="1"/>
      <c r="N437" s="530"/>
      <c r="O437" s="530"/>
      <c r="P437" s="530"/>
      <c r="Q437" s="530"/>
      <c r="R437" s="2"/>
      <c r="S437" s="1"/>
      <c r="T437" s="2"/>
    </row>
    <row r="438" spans="2:20" s="3" customFormat="1" ht="12" customHeight="1">
      <c r="B438" s="1"/>
      <c r="C438" s="1"/>
      <c r="D438" s="1"/>
      <c r="E438" s="1"/>
      <c r="F438" s="1"/>
      <c r="G438" s="1"/>
      <c r="H438" s="1"/>
      <c r="I438" s="1"/>
      <c r="J438" s="1"/>
      <c r="K438" s="1"/>
      <c r="L438" s="1"/>
      <c r="M438" s="1"/>
      <c r="N438" s="530"/>
      <c r="O438" s="530"/>
      <c r="P438" s="530"/>
      <c r="Q438" s="530"/>
      <c r="R438" s="2"/>
      <c r="S438" s="1"/>
      <c r="T438" s="2"/>
    </row>
    <row r="439" spans="2:20" s="3" customFormat="1" ht="12" customHeight="1">
      <c r="B439" s="1"/>
      <c r="C439" s="1"/>
      <c r="D439" s="1"/>
      <c r="E439" s="1"/>
      <c r="F439" s="1"/>
      <c r="G439" s="1"/>
      <c r="H439" s="1"/>
      <c r="I439" s="1"/>
      <c r="J439" s="1"/>
      <c r="K439" s="1"/>
      <c r="L439" s="1"/>
      <c r="M439" s="1"/>
      <c r="N439" s="530"/>
      <c r="O439" s="530"/>
      <c r="P439" s="530"/>
      <c r="Q439" s="530"/>
      <c r="R439" s="2"/>
      <c r="S439" s="1"/>
      <c r="T439" s="2"/>
    </row>
    <row r="440" spans="2:20" s="3" customFormat="1" ht="12" customHeight="1">
      <c r="B440" s="1"/>
      <c r="C440" s="1"/>
      <c r="D440" s="1"/>
      <c r="E440" s="1"/>
      <c r="F440" s="1"/>
      <c r="G440" s="1"/>
      <c r="H440" s="1"/>
      <c r="I440" s="1"/>
      <c r="J440" s="1"/>
      <c r="K440" s="1"/>
      <c r="L440" s="1"/>
      <c r="M440" s="1"/>
      <c r="N440" s="530"/>
      <c r="O440" s="530"/>
      <c r="P440" s="530"/>
      <c r="Q440" s="530"/>
      <c r="R440" s="2"/>
      <c r="S440" s="1"/>
      <c r="T440" s="2"/>
    </row>
    <row r="441" spans="2:20" s="3" customFormat="1" ht="12" customHeight="1">
      <c r="B441" s="1"/>
      <c r="C441" s="1"/>
      <c r="D441" s="1"/>
      <c r="E441" s="1"/>
      <c r="F441" s="1"/>
      <c r="G441" s="1"/>
      <c r="H441" s="1"/>
      <c r="I441" s="1"/>
      <c r="J441" s="1"/>
      <c r="K441" s="1"/>
      <c r="L441" s="1"/>
      <c r="M441" s="1"/>
      <c r="N441" s="530"/>
      <c r="O441" s="530"/>
      <c r="P441" s="530"/>
      <c r="Q441" s="530"/>
      <c r="R441" s="2"/>
      <c r="S441" s="1"/>
      <c r="T441" s="2"/>
    </row>
    <row r="442" spans="2:20" s="3" customFormat="1" ht="12" customHeight="1">
      <c r="B442" s="1"/>
      <c r="C442" s="1"/>
      <c r="D442" s="1"/>
      <c r="E442" s="1"/>
      <c r="F442" s="1"/>
      <c r="G442" s="1"/>
      <c r="H442" s="1"/>
      <c r="I442" s="1"/>
      <c r="J442" s="1"/>
      <c r="K442" s="1"/>
      <c r="L442" s="1"/>
      <c r="M442" s="1"/>
      <c r="N442" s="530"/>
      <c r="O442" s="530"/>
      <c r="P442" s="530"/>
      <c r="Q442" s="530"/>
      <c r="R442" s="2"/>
      <c r="S442" s="1"/>
      <c r="T442" s="2"/>
    </row>
    <row r="443" spans="2:20" s="3" customFormat="1" ht="12" customHeight="1">
      <c r="B443" s="1"/>
      <c r="C443" s="1"/>
      <c r="D443" s="1"/>
      <c r="E443" s="1"/>
      <c r="F443" s="1"/>
      <c r="G443" s="1"/>
      <c r="H443" s="1"/>
      <c r="I443" s="1"/>
      <c r="J443" s="1"/>
      <c r="K443" s="1"/>
      <c r="L443" s="1"/>
      <c r="M443" s="1"/>
      <c r="N443" s="530"/>
      <c r="O443" s="530"/>
      <c r="P443" s="530"/>
      <c r="Q443" s="530"/>
      <c r="R443" s="2"/>
      <c r="S443" s="1"/>
      <c r="T443" s="2"/>
    </row>
    <row r="444" spans="2:20" s="3" customFormat="1" ht="12" customHeight="1">
      <c r="B444" s="1"/>
      <c r="C444" s="1"/>
      <c r="D444" s="1"/>
      <c r="E444" s="1"/>
      <c r="F444" s="1"/>
      <c r="G444" s="1"/>
      <c r="H444" s="1"/>
      <c r="I444" s="1"/>
      <c r="J444" s="1"/>
      <c r="K444" s="1"/>
      <c r="L444" s="1"/>
      <c r="M444" s="1"/>
      <c r="N444" s="530"/>
      <c r="O444" s="530"/>
      <c r="P444" s="530"/>
      <c r="Q444" s="530"/>
      <c r="R444" s="2"/>
      <c r="S444" s="1"/>
      <c r="T444" s="2"/>
    </row>
    <row r="445" spans="2:20" s="3" customFormat="1" ht="12" customHeight="1">
      <c r="B445" s="1"/>
      <c r="C445" s="1"/>
      <c r="D445" s="1"/>
      <c r="E445" s="1"/>
      <c r="F445" s="1"/>
      <c r="G445" s="1"/>
      <c r="H445" s="1"/>
      <c r="I445" s="1"/>
      <c r="J445" s="1"/>
      <c r="K445" s="1"/>
      <c r="L445" s="1"/>
      <c r="M445" s="1"/>
      <c r="N445" s="530"/>
      <c r="O445" s="530"/>
      <c r="P445" s="530"/>
      <c r="Q445" s="530"/>
      <c r="R445" s="2"/>
      <c r="S445" s="1"/>
      <c r="T445" s="2"/>
    </row>
    <row r="446" spans="2:20" s="3" customFormat="1" ht="12" customHeight="1">
      <c r="B446" s="1"/>
      <c r="C446" s="1"/>
      <c r="D446" s="1"/>
      <c r="E446" s="1"/>
      <c r="F446" s="1"/>
      <c r="G446" s="1"/>
      <c r="H446" s="1"/>
      <c r="I446" s="1"/>
      <c r="J446" s="1"/>
      <c r="K446" s="1"/>
      <c r="L446" s="1"/>
      <c r="M446" s="1"/>
      <c r="N446" s="530"/>
      <c r="O446" s="530"/>
      <c r="P446" s="530"/>
      <c r="Q446" s="530"/>
      <c r="R446" s="2"/>
      <c r="S446" s="1"/>
      <c r="T446" s="2"/>
    </row>
    <row r="447" spans="2:20" s="3" customFormat="1" ht="12" customHeight="1">
      <c r="B447" s="1"/>
      <c r="C447" s="1"/>
      <c r="D447" s="1"/>
      <c r="E447" s="1"/>
      <c r="F447" s="1"/>
      <c r="G447" s="1"/>
      <c r="H447" s="1"/>
      <c r="I447" s="1"/>
      <c r="J447" s="1"/>
      <c r="K447" s="1"/>
      <c r="L447" s="1"/>
      <c r="M447" s="1"/>
      <c r="N447" s="530"/>
      <c r="O447" s="530"/>
      <c r="P447" s="530"/>
      <c r="Q447" s="530"/>
      <c r="R447" s="2"/>
      <c r="S447" s="1"/>
      <c r="T447" s="2"/>
    </row>
    <row r="448" spans="2:20" s="3" customFormat="1" ht="12" customHeight="1">
      <c r="B448" s="1"/>
      <c r="C448" s="1"/>
      <c r="D448" s="1"/>
      <c r="E448" s="1"/>
      <c r="F448" s="1"/>
      <c r="G448" s="1"/>
      <c r="H448" s="1"/>
      <c r="I448" s="1"/>
      <c r="J448" s="1"/>
      <c r="K448" s="1"/>
      <c r="L448" s="1"/>
      <c r="M448" s="1"/>
      <c r="N448" s="530"/>
      <c r="O448" s="530"/>
      <c r="P448" s="530"/>
      <c r="Q448" s="530"/>
      <c r="R448" s="2"/>
      <c r="S448" s="1"/>
      <c r="T448" s="2"/>
    </row>
    <row r="449" spans="2:20" s="3" customFormat="1" ht="12" customHeight="1">
      <c r="B449" s="1"/>
      <c r="C449" s="1"/>
      <c r="D449" s="1"/>
      <c r="E449" s="1"/>
      <c r="F449" s="1"/>
      <c r="G449" s="1"/>
      <c r="H449" s="1"/>
      <c r="I449" s="1"/>
      <c r="J449" s="1"/>
      <c r="K449" s="1"/>
      <c r="L449" s="1"/>
      <c r="M449" s="1"/>
      <c r="N449" s="530"/>
      <c r="O449" s="530"/>
      <c r="P449" s="530"/>
      <c r="Q449" s="530"/>
      <c r="R449" s="2"/>
      <c r="S449" s="1"/>
      <c r="T449" s="2"/>
    </row>
    <row r="450" spans="2:20" s="3" customFormat="1" ht="12" customHeight="1">
      <c r="B450" s="1"/>
      <c r="C450" s="1"/>
      <c r="D450" s="1"/>
      <c r="E450" s="1"/>
      <c r="F450" s="1"/>
      <c r="G450" s="1"/>
      <c r="H450" s="1"/>
      <c r="I450" s="1"/>
      <c r="J450" s="1"/>
      <c r="K450" s="1"/>
      <c r="L450" s="1"/>
      <c r="M450" s="1"/>
      <c r="N450" s="530"/>
      <c r="O450" s="530"/>
      <c r="P450" s="530"/>
      <c r="Q450" s="530"/>
      <c r="R450" s="2"/>
      <c r="S450" s="1"/>
      <c r="T450" s="2"/>
    </row>
    <row r="451" spans="2:20" s="3" customFormat="1" ht="12" customHeight="1">
      <c r="B451" s="1"/>
      <c r="C451" s="1"/>
      <c r="D451" s="1"/>
      <c r="E451" s="1"/>
      <c r="F451" s="1"/>
      <c r="G451" s="1"/>
      <c r="H451" s="1"/>
      <c r="I451" s="1"/>
      <c r="J451" s="1"/>
      <c r="K451" s="1"/>
      <c r="L451" s="1"/>
      <c r="M451" s="1"/>
      <c r="N451" s="530"/>
      <c r="O451" s="530"/>
      <c r="P451" s="530"/>
      <c r="Q451" s="530"/>
      <c r="R451" s="2"/>
      <c r="S451" s="1"/>
      <c r="T451" s="2"/>
    </row>
    <row r="452" spans="2:20" s="3" customFormat="1" ht="12" customHeight="1">
      <c r="B452" s="1"/>
      <c r="C452" s="1"/>
      <c r="D452" s="1"/>
      <c r="E452" s="1"/>
      <c r="F452" s="1"/>
      <c r="G452" s="1"/>
      <c r="H452" s="1"/>
      <c r="I452" s="1"/>
      <c r="J452" s="1"/>
      <c r="K452" s="1"/>
      <c r="L452" s="1"/>
      <c r="M452" s="1"/>
      <c r="N452" s="530"/>
      <c r="O452" s="530"/>
      <c r="P452" s="530"/>
      <c r="Q452" s="530"/>
      <c r="R452" s="2"/>
      <c r="S452" s="1"/>
      <c r="T452" s="2"/>
    </row>
    <row r="453" spans="2:20" s="3" customFormat="1" ht="12" customHeight="1">
      <c r="B453" s="1"/>
      <c r="C453" s="1"/>
      <c r="D453" s="1"/>
      <c r="E453" s="1"/>
      <c r="F453" s="1"/>
      <c r="G453" s="1"/>
      <c r="H453" s="1"/>
      <c r="I453" s="1"/>
      <c r="J453" s="1"/>
      <c r="K453" s="1"/>
      <c r="L453" s="1"/>
      <c r="M453" s="1"/>
      <c r="N453" s="530"/>
      <c r="O453" s="530"/>
      <c r="P453" s="530"/>
      <c r="Q453" s="530"/>
      <c r="R453" s="2"/>
      <c r="S453" s="1"/>
      <c r="T453" s="2"/>
    </row>
    <row r="454" spans="2:20" s="3" customFormat="1" ht="12" customHeight="1">
      <c r="B454" s="1"/>
      <c r="C454" s="1"/>
      <c r="D454" s="1"/>
      <c r="E454" s="1"/>
      <c r="F454" s="1"/>
      <c r="G454" s="1"/>
      <c r="H454" s="1"/>
      <c r="I454" s="1"/>
      <c r="J454" s="1"/>
      <c r="K454" s="1"/>
      <c r="L454" s="1"/>
      <c r="M454" s="1"/>
      <c r="N454" s="530"/>
      <c r="O454" s="530"/>
      <c r="P454" s="530"/>
      <c r="Q454" s="530"/>
      <c r="R454" s="2"/>
      <c r="S454" s="1"/>
      <c r="T454" s="2"/>
    </row>
    <row r="455" spans="2:20" s="3" customFormat="1" ht="12" customHeight="1">
      <c r="B455" s="1"/>
      <c r="C455" s="1"/>
      <c r="D455" s="1"/>
      <c r="E455" s="1"/>
      <c r="F455" s="1"/>
      <c r="G455" s="1"/>
      <c r="H455" s="1"/>
      <c r="I455" s="1"/>
      <c r="J455" s="1"/>
      <c r="K455" s="1"/>
      <c r="L455" s="1"/>
      <c r="M455" s="1"/>
      <c r="N455" s="530"/>
      <c r="O455" s="530"/>
      <c r="P455" s="530"/>
      <c r="Q455" s="530"/>
      <c r="R455" s="2"/>
      <c r="S455" s="1"/>
      <c r="T455" s="2"/>
    </row>
    <row r="456" spans="2:20" s="3" customFormat="1" ht="12" customHeight="1">
      <c r="B456" s="1"/>
      <c r="C456" s="1"/>
      <c r="D456" s="1"/>
      <c r="E456" s="1"/>
      <c r="F456" s="1"/>
      <c r="G456" s="1"/>
      <c r="H456" s="1"/>
      <c r="I456" s="1"/>
      <c r="J456" s="1"/>
      <c r="K456" s="1"/>
      <c r="L456" s="1"/>
      <c r="M456" s="1"/>
      <c r="N456" s="530"/>
      <c r="O456" s="530"/>
      <c r="P456" s="530"/>
      <c r="Q456" s="530"/>
      <c r="R456" s="2"/>
      <c r="S456" s="1"/>
      <c r="T456" s="2"/>
    </row>
    <row r="457" spans="2:20" s="3" customFormat="1" ht="12" customHeight="1">
      <c r="B457" s="1"/>
      <c r="C457" s="1"/>
      <c r="D457" s="1"/>
      <c r="E457" s="1"/>
      <c r="F457" s="1"/>
      <c r="G457" s="1"/>
      <c r="H457" s="1"/>
      <c r="I457" s="1"/>
      <c r="J457" s="1"/>
      <c r="K457" s="1"/>
      <c r="L457" s="1"/>
      <c r="M457" s="1"/>
      <c r="N457" s="530"/>
      <c r="O457" s="530"/>
      <c r="P457" s="530"/>
      <c r="Q457" s="530"/>
      <c r="R457" s="2"/>
      <c r="S457" s="1"/>
      <c r="T457" s="2"/>
    </row>
    <row r="458" spans="2:20" s="3" customFormat="1" ht="12" customHeight="1">
      <c r="B458" s="1"/>
      <c r="C458" s="1"/>
      <c r="D458" s="1"/>
      <c r="E458" s="1"/>
      <c r="F458" s="1"/>
      <c r="G458" s="1"/>
      <c r="H458" s="1"/>
      <c r="I458" s="1"/>
      <c r="J458" s="1"/>
      <c r="K458" s="1"/>
      <c r="L458" s="1"/>
      <c r="M458" s="1"/>
      <c r="N458" s="530"/>
      <c r="O458" s="530"/>
      <c r="P458" s="530"/>
      <c r="Q458" s="530"/>
      <c r="R458" s="2"/>
      <c r="S458" s="1"/>
      <c r="T458" s="2"/>
    </row>
    <row r="459" spans="2:20" s="3" customFormat="1" ht="12" customHeight="1">
      <c r="B459" s="1"/>
      <c r="C459" s="1"/>
      <c r="D459" s="1"/>
      <c r="E459" s="1"/>
      <c r="F459" s="1"/>
      <c r="G459" s="1"/>
      <c r="H459" s="1"/>
      <c r="I459" s="1"/>
      <c r="J459" s="1"/>
      <c r="K459" s="1"/>
      <c r="L459" s="1"/>
      <c r="M459" s="1"/>
      <c r="N459" s="530"/>
      <c r="O459" s="530"/>
      <c r="P459" s="530"/>
      <c r="Q459" s="530"/>
      <c r="R459" s="2"/>
      <c r="S459" s="1"/>
      <c r="T459" s="2"/>
    </row>
    <row r="460" spans="2:20" s="3" customFormat="1" ht="12" customHeight="1">
      <c r="B460" s="1"/>
      <c r="C460" s="1"/>
      <c r="D460" s="1"/>
      <c r="E460" s="1"/>
      <c r="F460" s="1"/>
      <c r="G460" s="1"/>
      <c r="H460" s="1"/>
      <c r="I460" s="1"/>
      <c r="J460" s="1"/>
      <c r="K460" s="1"/>
      <c r="L460" s="1"/>
      <c r="M460" s="1"/>
      <c r="N460" s="530"/>
      <c r="O460" s="530"/>
      <c r="P460" s="530"/>
      <c r="Q460" s="530"/>
      <c r="R460" s="2"/>
      <c r="S460" s="1"/>
      <c r="T460" s="2"/>
    </row>
    <row r="461" spans="2:20" s="3" customFormat="1" ht="12" customHeight="1">
      <c r="B461" s="1"/>
      <c r="C461" s="1"/>
      <c r="D461" s="1"/>
      <c r="E461" s="1"/>
      <c r="F461" s="1"/>
      <c r="G461" s="1"/>
      <c r="H461" s="1"/>
      <c r="I461" s="1"/>
      <c r="J461" s="1"/>
      <c r="K461" s="1"/>
      <c r="L461" s="1"/>
      <c r="M461" s="1"/>
      <c r="N461" s="530"/>
      <c r="O461" s="530"/>
      <c r="P461" s="530"/>
      <c r="Q461" s="530"/>
      <c r="R461" s="2"/>
      <c r="S461" s="1"/>
      <c r="T461" s="2"/>
    </row>
    <row r="462" spans="2:20" s="3" customFormat="1" ht="12" customHeight="1">
      <c r="B462" s="1"/>
      <c r="C462" s="1"/>
      <c r="D462" s="1"/>
      <c r="E462" s="1"/>
      <c r="F462" s="1"/>
      <c r="G462" s="1"/>
      <c r="H462" s="1"/>
      <c r="I462" s="1"/>
      <c r="J462" s="1"/>
      <c r="K462" s="1"/>
      <c r="L462" s="1"/>
      <c r="M462" s="1"/>
      <c r="N462" s="530"/>
      <c r="O462" s="530"/>
      <c r="P462" s="530"/>
      <c r="Q462" s="530"/>
      <c r="R462" s="2"/>
      <c r="S462" s="1"/>
      <c r="T462" s="2"/>
    </row>
    <row r="463" spans="2:20" s="3" customFormat="1" ht="12" customHeight="1">
      <c r="B463" s="1"/>
      <c r="C463" s="1"/>
      <c r="D463" s="1"/>
      <c r="E463" s="1"/>
      <c r="F463" s="1"/>
      <c r="G463" s="1"/>
      <c r="H463" s="1"/>
      <c r="I463" s="1"/>
      <c r="J463" s="1"/>
      <c r="K463" s="1"/>
      <c r="L463" s="1"/>
      <c r="M463" s="1"/>
      <c r="N463" s="530"/>
      <c r="O463" s="530"/>
      <c r="P463" s="530"/>
      <c r="Q463" s="530"/>
      <c r="R463" s="2"/>
      <c r="S463" s="1"/>
      <c r="T463" s="2"/>
    </row>
    <row r="464" spans="2:20" s="3" customFormat="1" ht="12" customHeight="1">
      <c r="B464" s="1"/>
      <c r="C464" s="1"/>
      <c r="D464" s="1"/>
      <c r="E464" s="1"/>
      <c r="F464" s="1"/>
      <c r="G464" s="1"/>
      <c r="H464" s="1"/>
      <c r="I464" s="1"/>
      <c r="J464" s="1"/>
      <c r="K464" s="1"/>
      <c r="L464" s="1"/>
      <c r="M464" s="1"/>
      <c r="N464" s="530"/>
      <c r="O464" s="530"/>
      <c r="P464" s="530"/>
      <c r="Q464" s="530"/>
      <c r="R464" s="2"/>
      <c r="S464" s="1"/>
      <c r="T464" s="2"/>
    </row>
    <row r="465" spans="2:20" s="3" customFormat="1" ht="12" customHeight="1">
      <c r="B465" s="1"/>
      <c r="C465" s="1"/>
      <c r="D465" s="1"/>
      <c r="E465" s="1"/>
      <c r="F465" s="1"/>
      <c r="G465" s="1"/>
      <c r="H465" s="1"/>
      <c r="I465" s="1"/>
      <c r="J465" s="1"/>
      <c r="K465" s="1"/>
      <c r="L465" s="1"/>
      <c r="M465" s="1"/>
      <c r="N465" s="530"/>
      <c r="O465" s="530"/>
      <c r="P465" s="530"/>
      <c r="Q465" s="530"/>
      <c r="R465" s="2"/>
      <c r="S465" s="1"/>
      <c r="T465" s="2"/>
    </row>
    <row r="466" spans="2:20" s="3" customFormat="1" ht="12" customHeight="1">
      <c r="B466" s="1"/>
      <c r="C466" s="1"/>
      <c r="D466" s="1"/>
      <c r="E466" s="1"/>
      <c r="F466" s="1"/>
      <c r="G466" s="1"/>
      <c r="H466" s="1"/>
      <c r="I466" s="1"/>
      <c r="J466" s="1"/>
      <c r="K466" s="1"/>
      <c r="L466" s="1"/>
      <c r="M466" s="1"/>
      <c r="N466" s="530"/>
      <c r="O466" s="530"/>
      <c r="P466" s="530"/>
      <c r="Q466" s="530"/>
      <c r="R466" s="2"/>
      <c r="S466" s="1"/>
      <c r="T466" s="2"/>
    </row>
    <row r="467" spans="2:20" s="3" customFormat="1" ht="12" customHeight="1">
      <c r="B467" s="1"/>
      <c r="C467" s="1"/>
      <c r="D467" s="1"/>
      <c r="E467" s="1"/>
      <c r="F467" s="1"/>
      <c r="G467" s="1"/>
      <c r="H467" s="1"/>
      <c r="I467" s="1"/>
      <c r="J467" s="1"/>
      <c r="K467" s="1"/>
      <c r="L467" s="1"/>
      <c r="M467" s="1"/>
      <c r="N467" s="530"/>
      <c r="O467" s="530"/>
      <c r="P467" s="530"/>
      <c r="Q467" s="530"/>
      <c r="R467" s="2"/>
      <c r="S467" s="1"/>
      <c r="T467" s="2"/>
    </row>
    <row r="468" spans="2:20" s="3" customFormat="1" ht="12" customHeight="1">
      <c r="B468" s="1"/>
      <c r="C468" s="1"/>
      <c r="D468" s="1"/>
      <c r="E468" s="1"/>
      <c r="F468" s="1"/>
      <c r="G468" s="1"/>
      <c r="H468" s="1"/>
      <c r="I468" s="1"/>
      <c r="J468" s="1"/>
      <c r="K468" s="1"/>
      <c r="L468" s="1"/>
      <c r="M468" s="1"/>
      <c r="N468" s="530"/>
      <c r="O468" s="530"/>
      <c r="P468" s="530"/>
      <c r="Q468" s="530"/>
      <c r="R468" s="2"/>
      <c r="S468" s="1"/>
      <c r="T468" s="2"/>
    </row>
    <row r="469" spans="2:20" s="3" customFormat="1" ht="12" customHeight="1">
      <c r="B469" s="1"/>
      <c r="C469" s="1"/>
      <c r="D469" s="1"/>
      <c r="E469" s="1"/>
      <c r="F469" s="1"/>
      <c r="G469" s="1"/>
      <c r="H469" s="1"/>
      <c r="I469" s="1"/>
      <c r="J469" s="1"/>
      <c r="K469" s="1"/>
      <c r="L469" s="1"/>
      <c r="M469" s="1"/>
      <c r="N469" s="530"/>
      <c r="O469" s="530"/>
      <c r="P469" s="530"/>
      <c r="Q469" s="530"/>
      <c r="R469" s="2"/>
      <c r="S469" s="1"/>
      <c r="T469" s="2"/>
    </row>
    <row r="470" spans="2:20" s="3" customFormat="1" ht="12" customHeight="1">
      <c r="B470" s="1"/>
      <c r="C470" s="1"/>
      <c r="D470" s="1"/>
      <c r="E470" s="1"/>
      <c r="F470" s="1"/>
      <c r="G470" s="1"/>
      <c r="H470" s="1"/>
      <c r="I470" s="1"/>
      <c r="J470" s="1"/>
      <c r="K470" s="1"/>
      <c r="L470" s="1"/>
      <c r="M470" s="1"/>
      <c r="N470" s="530"/>
      <c r="O470" s="530"/>
      <c r="P470" s="530"/>
      <c r="Q470" s="530"/>
      <c r="R470" s="2"/>
      <c r="S470" s="1"/>
      <c r="T470" s="2"/>
    </row>
    <row r="471" spans="2:20" s="3" customFormat="1" ht="12" customHeight="1">
      <c r="B471" s="1"/>
      <c r="C471" s="1"/>
      <c r="D471" s="1"/>
      <c r="E471" s="1"/>
      <c r="F471" s="1"/>
      <c r="G471" s="1"/>
      <c r="H471" s="1"/>
      <c r="I471" s="1"/>
      <c r="J471" s="1"/>
      <c r="K471" s="1"/>
      <c r="L471" s="1"/>
      <c r="M471" s="1"/>
      <c r="N471" s="530"/>
      <c r="O471" s="530"/>
      <c r="P471" s="530"/>
      <c r="Q471" s="530"/>
      <c r="R471" s="2"/>
      <c r="S471" s="1"/>
      <c r="T471" s="2"/>
    </row>
    <row r="472" spans="2:20" s="3" customFormat="1" ht="12" customHeight="1">
      <c r="B472" s="1"/>
      <c r="C472" s="1"/>
      <c r="D472" s="1"/>
      <c r="E472" s="1"/>
      <c r="F472" s="1"/>
      <c r="G472" s="1"/>
      <c r="H472" s="1"/>
      <c r="I472" s="1"/>
      <c r="J472" s="1"/>
      <c r="K472" s="1"/>
      <c r="L472" s="1"/>
      <c r="M472" s="1"/>
      <c r="N472" s="530"/>
      <c r="O472" s="530"/>
      <c r="P472" s="530"/>
      <c r="Q472" s="530"/>
      <c r="R472" s="2"/>
      <c r="S472" s="1"/>
      <c r="T472" s="2"/>
    </row>
    <row r="473" spans="2:20" s="3" customFormat="1" ht="12" customHeight="1">
      <c r="B473" s="1"/>
      <c r="C473" s="1"/>
      <c r="D473" s="1"/>
      <c r="E473" s="1"/>
      <c r="F473" s="1"/>
      <c r="G473" s="1"/>
      <c r="H473" s="1"/>
      <c r="I473" s="1"/>
      <c r="J473" s="1"/>
      <c r="K473" s="1"/>
      <c r="L473" s="1"/>
      <c r="M473" s="1"/>
      <c r="N473" s="530"/>
      <c r="O473" s="530"/>
      <c r="P473" s="530"/>
      <c r="Q473" s="530"/>
      <c r="R473" s="2"/>
      <c r="S473" s="1"/>
      <c r="T473" s="2"/>
    </row>
    <row r="474" spans="2:20" s="3" customFormat="1" ht="12" customHeight="1">
      <c r="B474" s="1"/>
      <c r="C474" s="1"/>
      <c r="D474" s="1"/>
      <c r="E474" s="1"/>
      <c r="F474" s="1"/>
      <c r="G474" s="1"/>
      <c r="H474" s="1"/>
      <c r="I474" s="1"/>
      <c r="J474" s="1"/>
      <c r="K474" s="1"/>
      <c r="L474" s="1"/>
      <c r="M474" s="1"/>
      <c r="N474" s="530"/>
      <c r="O474" s="530"/>
      <c r="P474" s="530"/>
      <c r="Q474" s="530"/>
      <c r="R474" s="2"/>
      <c r="S474" s="1"/>
      <c r="T474" s="2"/>
    </row>
    <row r="475" spans="2:20" s="3" customFormat="1" ht="12" customHeight="1">
      <c r="B475" s="1"/>
      <c r="C475" s="1"/>
      <c r="D475" s="1"/>
      <c r="E475" s="1"/>
      <c r="F475" s="1"/>
      <c r="G475" s="1"/>
      <c r="H475" s="1"/>
      <c r="I475" s="1"/>
      <c r="J475" s="1"/>
      <c r="K475" s="1"/>
      <c r="L475" s="1"/>
      <c r="M475" s="1"/>
      <c r="N475" s="530"/>
      <c r="O475" s="530"/>
      <c r="P475" s="530"/>
      <c r="Q475" s="530"/>
      <c r="R475" s="2"/>
      <c r="S475" s="1"/>
      <c r="T475" s="2"/>
    </row>
    <row r="476" spans="2:20" s="3" customFormat="1" ht="12" customHeight="1">
      <c r="B476" s="1"/>
      <c r="C476" s="1"/>
      <c r="D476" s="1"/>
      <c r="E476" s="1"/>
      <c r="F476" s="1"/>
      <c r="G476" s="1"/>
      <c r="H476" s="1"/>
      <c r="I476" s="1"/>
      <c r="J476" s="1"/>
      <c r="K476" s="1"/>
      <c r="L476" s="1"/>
      <c r="M476" s="1"/>
      <c r="N476" s="530"/>
      <c r="O476" s="530"/>
      <c r="P476" s="530"/>
      <c r="Q476" s="530"/>
      <c r="R476" s="2"/>
      <c r="S476" s="1"/>
      <c r="T476" s="2"/>
    </row>
    <row r="477" spans="2:20" s="3" customFormat="1" ht="12" customHeight="1">
      <c r="B477" s="1"/>
      <c r="C477" s="1"/>
      <c r="D477" s="1"/>
      <c r="E477" s="1"/>
      <c r="F477" s="1"/>
      <c r="G477" s="1"/>
      <c r="H477" s="1"/>
      <c r="I477" s="1"/>
      <c r="J477" s="1"/>
      <c r="K477" s="1"/>
      <c r="L477" s="1"/>
      <c r="M477" s="1"/>
      <c r="N477" s="530"/>
      <c r="O477" s="530"/>
      <c r="P477" s="530"/>
      <c r="Q477" s="530"/>
      <c r="R477" s="2"/>
      <c r="S477" s="1"/>
      <c r="T477" s="2"/>
    </row>
    <row r="478" spans="2:20" s="3" customFormat="1" ht="12" customHeight="1">
      <c r="B478" s="1"/>
      <c r="C478" s="1"/>
      <c r="D478" s="1"/>
      <c r="E478" s="1"/>
      <c r="F478" s="1"/>
      <c r="G478" s="1"/>
      <c r="H478" s="1"/>
      <c r="I478" s="1"/>
      <c r="J478" s="1"/>
      <c r="K478" s="1"/>
      <c r="L478" s="1"/>
      <c r="M478" s="1"/>
      <c r="N478" s="530"/>
      <c r="O478" s="530"/>
      <c r="P478" s="530"/>
      <c r="Q478" s="530"/>
      <c r="R478" s="2"/>
      <c r="S478" s="1"/>
      <c r="T478" s="2"/>
    </row>
    <row r="479" spans="2:20" s="3" customFormat="1" ht="12" customHeight="1">
      <c r="B479" s="1"/>
      <c r="C479" s="1"/>
      <c r="D479" s="1"/>
      <c r="E479" s="1"/>
      <c r="F479" s="1"/>
      <c r="G479" s="1"/>
      <c r="H479" s="1"/>
      <c r="I479" s="1"/>
      <c r="J479" s="1"/>
      <c r="K479" s="1"/>
      <c r="L479" s="1"/>
      <c r="M479" s="1"/>
      <c r="N479" s="530"/>
      <c r="O479" s="530"/>
      <c r="P479" s="530"/>
      <c r="Q479" s="530"/>
      <c r="R479" s="2"/>
      <c r="S479" s="1"/>
      <c r="T479" s="2"/>
    </row>
    <row r="480" spans="2:20" s="3" customFormat="1" ht="12" customHeight="1">
      <c r="B480" s="1"/>
      <c r="C480" s="1"/>
      <c r="D480" s="1"/>
      <c r="E480" s="1"/>
      <c r="F480" s="1"/>
      <c r="G480" s="1"/>
      <c r="H480" s="1"/>
      <c r="I480" s="1"/>
      <c r="J480" s="1"/>
      <c r="K480" s="1"/>
      <c r="L480" s="1"/>
      <c r="M480" s="1"/>
      <c r="N480" s="530"/>
      <c r="O480" s="530"/>
      <c r="P480" s="530"/>
      <c r="Q480" s="530"/>
      <c r="R480" s="2"/>
      <c r="S480" s="1"/>
      <c r="T480" s="2"/>
    </row>
    <row r="481" spans="2:20" s="3" customFormat="1" ht="12" customHeight="1">
      <c r="B481" s="1"/>
      <c r="C481" s="1"/>
      <c r="D481" s="1"/>
      <c r="E481" s="1"/>
      <c r="F481" s="1"/>
      <c r="G481" s="1"/>
      <c r="H481" s="1"/>
      <c r="I481" s="1"/>
      <c r="J481" s="1"/>
      <c r="K481" s="1"/>
      <c r="L481" s="1"/>
      <c r="M481" s="1"/>
      <c r="N481" s="530"/>
      <c r="O481" s="530"/>
      <c r="P481" s="530"/>
      <c r="Q481" s="530"/>
      <c r="R481" s="2"/>
      <c r="S481" s="1"/>
      <c r="T481" s="2"/>
    </row>
    <row r="482" spans="2:20" s="3" customFormat="1" ht="12" customHeight="1">
      <c r="B482" s="1"/>
      <c r="C482" s="1"/>
      <c r="D482" s="1"/>
      <c r="E482" s="1"/>
      <c r="F482" s="1"/>
      <c r="G482" s="1"/>
      <c r="H482" s="1"/>
      <c r="I482" s="1"/>
      <c r="J482" s="1"/>
      <c r="K482" s="1"/>
      <c r="L482" s="1"/>
      <c r="M482" s="1"/>
      <c r="N482" s="530"/>
      <c r="O482" s="530"/>
      <c r="P482" s="530"/>
      <c r="Q482" s="530"/>
      <c r="R482" s="2"/>
      <c r="S482" s="1"/>
      <c r="T482" s="2"/>
    </row>
    <row r="483" spans="2:20" s="3" customFormat="1" ht="12" customHeight="1">
      <c r="B483" s="1"/>
      <c r="C483" s="1"/>
      <c r="D483" s="1"/>
      <c r="E483" s="1"/>
      <c r="F483" s="1"/>
      <c r="G483" s="1"/>
      <c r="H483" s="1"/>
      <c r="I483" s="1"/>
      <c r="J483" s="1"/>
      <c r="K483" s="1"/>
      <c r="L483" s="1"/>
      <c r="M483" s="1"/>
      <c r="N483" s="530"/>
      <c r="O483" s="530"/>
      <c r="P483" s="530"/>
      <c r="Q483" s="530"/>
      <c r="R483" s="2"/>
      <c r="S483" s="1"/>
      <c r="T483" s="2"/>
    </row>
    <row r="484" spans="2:20" s="3" customFormat="1" ht="12" customHeight="1">
      <c r="B484" s="1"/>
      <c r="C484" s="1"/>
      <c r="D484" s="1"/>
      <c r="E484" s="1"/>
      <c r="F484" s="1"/>
      <c r="G484" s="1"/>
      <c r="H484" s="1"/>
      <c r="I484" s="1"/>
      <c r="J484" s="1"/>
      <c r="K484" s="1"/>
      <c r="L484" s="1"/>
      <c r="M484" s="1"/>
      <c r="N484" s="530"/>
      <c r="O484" s="530"/>
      <c r="P484" s="530"/>
      <c r="Q484" s="530"/>
      <c r="R484" s="2"/>
      <c r="S484" s="1"/>
      <c r="T484" s="2"/>
    </row>
    <row r="485" spans="2:20" s="3" customFormat="1" ht="12" customHeight="1">
      <c r="B485" s="1"/>
      <c r="C485" s="1"/>
      <c r="D485" s="1"/>
      <c r="E485" s="1"/>
      <c r="F485" s="1"/>
      <c r="G485" s="1"/>
      <c r="H485" s="1"/>
      <c r="I485" s="1"/>
      <c r="J485" s="1"/>
      <c r="K485" s="1"/>
      <c r="L485" s="1"/>
      <c r="M485" s="1"/>
      <c r="N485" s="530"/>
      <c r="O485" s="530"/>
      <c r="P485" s="530"/>
      <c r="Q485" s="530"/>
      <c r="R485" s="2"/>
      <c r="S485" s="1"/>
      <c r="T485" s="2"/>
    </row>
    <row r="486" spans="2:20" s="3" customFormat="1" ht="12" customHeight="1">
      <c r="B486" s="1"/>
      <c r="C486" s="1"/>
      <c r="D486" s="1"/>
      <c r="E486" s="1"/>
      <c r="F486" s="1"/>
      <c r="G486" s="1"/>
      <c r="H486" s="1"/>
      <c r="I486" s="1"/>
      <c r="J486" s="1"/>
      <c r="K486" s="1"/>
      <c r="L486" s="1"/>
      <c r="M486" s="1"/>
      <c r="N486" s="530"/>
      <c r="O486" s="530"/>
      <c r="P486" s="530"/>
      <c r="Q486" s="530"/>
      <c r="R486" s="2"/>
      <c r="S486" s="1"/>
      <c r="T486" s="2"/>
    </row>
    <row r="487" spans="2:20" s="3" customFormat="1" ht="12" customHeight="1">
      <c r="B487" s="1"/>
      <c r="C487" s="1"/>
      <c r="D487" s="1"/>
      <c r="E487" s="1"/>
      <c r="F487" s="1"/>
      <c r="G487" s="1"/>
      <c r="H487" s="1"/>
      <c r="I487" s="1"/>
      <c r="J487" s="1"/>
      <c r="K487" s="1"/>
      <c r="L487" s="1"/>
      <c r="M487" s="1"/>
      <c r="N487" s="530"/>
      <c r="O487" s="530"/>
      <c r="P487" s="530"/>
      <c r="Q487" s="530"/>
      <c r="R487" s="2"/>
      <c r="S487" s="1"/>
      <c r="T487" s="2"/>
    </row>
    <row r="488" spans="2:20" s="3" customFormat="1" ht="12" customHeight="1">
      <c r="B488" s="1"/>
      <c r="C488" s="1"/>
      <c r="D488" s="1"/>
      <c r="E488" s="1"/>
      <c r="F488" s="1"/>
      <c r="G488" s="1"/>
      <c r="H488" s="1"/>
      <c r="I488" s="1"/>
      <c r="J488" s="1"/>
      <c r="K488" s="1"/>
      <c r="L488" s="1"/>
      <c r="M488" s="1"/>
      <c r="N488" s="530"/>
      <c r="O488" s="530"/>
      <c r="P488" s="530"/>
      <c r="Q488" s="530"/>
      <c r="R488" s="2"/>
      <c r="S488" s="1"/>
      <c r="T488" s="2"/>
    </row>
    <row r="489" spans="2:20" s="3" customFormat="1" ht="12" customHeight="1">
      <c r="B489" s="1"/>
      <c r="C489" s="1"/>
      <c r="D489" s="1"/>
      <c r="E489" s="1"/>
      <c r="F489" s="1"/>
      <c r="G489" s="1"/>
      <c r="H489" s="1"/>
      <c r="I489" s="1"/>
      <c r="J489" s="1"/>
      <c r="K489" s="1"/>
      <c r="L489" s="1"/>
      <c r="M489" s="1"/>
      <c r="N489" s="530"/>
      <c r="O489" s="530"/>
      <c r="P489" s="530"/>
      <c r="Q489" s="530"/>
      <c r="R489" s="2"/>
      <c r="S489" s="1"/>
      <c r="T489" s="2"/>
    </row>
    <row r="490" spans="2:20" s="3" customFormat="1" ht="12" customHeight="1">
      <c r="B490" s="1"/>
      <c r="C490" s="1"/>
      <c r="D490" s="1"/>
      <c r="E490" s="1"/>
      <c r="F490" s="1"/>
      <c r="G490" s="1"/>
      <c r="H490" s="1"/>
      <c r="I490" s="1"/>
      <c r="J490" s="1"/>
      <c r="K490" s="1"/>
      <c r="L490" s="1"/>
      <c r="M490" s="1"/>
      <c r="N490" s="530"/>
      <c r="O490" s="530"/>
      <c r="P490" s="530"/>
      <c r="Q490" s="530"/>
      <c r="R490" s="2"/>
      <c r="S490" s="1"/>
      <c r="T490" s="2"/>
    </row>
    <row r="491" spans="2:20" s="3" customFormat="1" ht="12" customHeight="1">
      <c r="B491" s="1"/>
      <c r="C491" s="1"/>
      <c r="D491" s="1"/>
      <c r="E491" s="1"/>
      <c r="F491" s="1"/>
      <c r="G491" s="1"/>
      <c r="H491" s="1"/>
      <c r="I491" s="1"/>
      <c r="J491" s="1"/>
      <c r="K491" s="1"/>
      <c r="L491" s="1"/>
      <c r="M491" s="1"/>
      <c r="N491" s="530"/>
      <c r="O491" s="530"/>
      <c r="P491" s="530"/>
      <c r="Q491" s="530"/>
      <c r="R491" s="2"/>
      <c r="S491" s="1"/>
      <c r="T491" s="2"/>
    </row>
    <row r="492" spans="2:20" s="3" customFormat="1" ht="12" customHeight="1">
      <c r="B492" s="1"/>
      <c r="C492" s="1"/>
      <c r="D492" s="1"/>
      <c r="E492" s="1"/>
      <c r="F492" s="1"/>
      <c r="G492" s="1"/>
      <c r="H492" s="1"/>
      <c r="I492" s="1"/>
      <c r="J492" s="1"/>
      <c r="K492" s="1"/>
      <c r="L492" s="1"/>
      <c r="M492" s="1"/>
      <c r="N492" s="530"/>
      <c r="O492" s="530"/>
      <c r="P492" s="530"/>
      <c r="Q492" s="530"/>
      <c r="R492" s="2"/>
      <c r="S492" s="1"/>
      <c r="T492" s="2"/>
    </row>
    <row r="493" spans="2:20" s="3" customFormat="1" ht="12" customHeight="1">
      <c r="B493" s="1"/>
      <c r="C493" s="1"/>
      <c r="D493" s="1"/>
      <c r="E493" s="1"/>
      <c r="F493" s="1"/>
      <c r="G493" s="1"/>
      <c r="H493" s="1"/>
      <c r="I493" s="1"/>
      <c r="J493" s="1"/>
      <c r="K493" s="1"/>
      <c r="L493" s="1"/>
      <c r="M493" s="1"/>
      <c r="N493" s="530"/>
      <c r="O493" s="530"/>
      <c r="P493" s="530"/>
      <c r="Q493" s="530"/>
      <c r="R493" s="2"/>
      <c r="S493" s="1"/>
      <c r="T493" s="2"/>
    </row>
    <row r="494" spans="2:20" s="3" customFormat="1" ht="12" customHeight="1">
      <c r="B494" s="1"/>
      <c r="C494" s="1"/>
      <c r="D494" s="1"/>
      <c r="E494" s="1"/>
      <c r="F494" s="1"/>
      <c r="G494" s="1"/>
      <c r="H494" s="1"/>
      <c r="I494" s="1"/>
      <c r="J494" s="1"/>
      <c r="K494" s="1"/>
      <c r="L494" s="1"/>
      <c r="M494" s="1"/>
      <c r="N494" s="530"/>
      <c r="O494" s="530"/>
      <c r="P494" s="530"/>
      <c r="Q494" s="530"/>
      <c r="R494" s="2"/>
      <c r="S494" s="1"/>
      <c r="T494" s="2"/>
    </row>
    <row r="495" spans="2:20" s="3" customFormat="1" ht="12" customHeight="1">
      <c r="B495" s="1"/>
      <c r="C495" s="1"/>
      <c r="D495" s="1"/>
      <c r="E495" s="1"/>
      <c r="F495" s="1"/>
      <c r="G495" s="1"/>
      <c r="H495" s="1"/>
      <c r="I495" s="1"/>
      <c r="J495" s="1"/>
      <c r="K495" s="1"/>
      <c r="L495" s="1"/>
      <c r="M495" s="1"/>
      <c r="N495" s="530"/>
      <c r="O495" s="530"/>
      <c r="P495" s="530"/>
      <c r="Q495" s="530"/>
      <c r="R495" s="2"/>
      <c r="S495" s="1"/>
      <c r="T495" s="2"/>
    </row>
    <row r="496" spans="2:20" s="3" customFormat="1" ht="12" customHeight="1">
      <c r="B496" s="1"/>
      <c r="C496" s="1"/>
      <c r="D496" s="1"/>
      <c r="E496" s="1"/>
      <c r="F496" s="1"/>
      <c r="G496" s="1"/>
      <c r="H496" s="1"/>
      <c r="I496" s="1"/>
      <c r="J496" s="1"/>
      <c r="K496" s="1"/>
      <c r="L496" s="1"/>
      <c r="M496" s="1"/>
      <c r="N496" s="530"/>
      <c r="O496" s="530"/>
      <c r="P496" s="530"/>
      <c r="Q496" s="530"/>
      <c r="R496" s="2"/>
      <c r="S496" s="1"/>
      <c r="T496" s="2"/>
    </row>
    <row r="497" spans="2:20" s="3" customFormat="1" ht="12" customHeight="1">
      <c r="B497" s="1"/>
      <c r="C497" s="1"/>
      <c r="D497" s="1"/>
      <c r="E497" s="1"/>
      <c r="F497" s="1"/>
      <c r="G497" s="1"/>
      <c r="H497" s="1"/>
      <c r="I497" s="1"/>
      <c r="J497" s="1"/>
      <c r="K497" s="1"/>
      <c r="L497" s="1"/>
      <c r="M497" s="1"/>
      <c r="N497" s="530"/>
      <c r="O497" s="530"/>
      <c r="P497" s="530"/>
      <c r="Q497" s="530"/>
      <c r="R497" s="2"/>
      <c r="S497" s="1"/>
      <c r="T497" s="2"/>
    </row>
    <row r="498" spans="2:20" s="3" customFormat="1" ht="12" customHeight="1">
      <c r="B498" s="1"/>
      <c r="C498" s="1"/>
      <c r="D498" s="1"/>
      <c r="E498" s="1"/>
      <c r="F498" s="1"/>
      <c r="G498" s="1"/>
      <c r="H498" s="1"/>
      <c r="I498" s="1"/>
      <c r="J498" s="1"/>
      <c r="K498" s="1"/>
      <c r="L498" s="1"/>
      <c r="M498" s="1"/>
      <c r="N498" s="530"/>
      <c r="O498" s="530"/>
      <c r="P498" s="530"/>
      <c r="Q498" s="530"/>
      <c r="R498" s="2"/>
      <c r="S498" s="1"/>
      <c r="T498" s="2"/>
    </row>
    <row r="499" spans="2:20" s="3" customFormat="1" ht="12" customHeight="1">
      <c r="B499" s="1"/>
      <c r="C499" s="1"/>
      <c r="D499" s="1"/>
      <c r="E499" s="1"/>
      <c r="F499" s="1"/>
      <c r="G499" s="1"/>
      <c r="H499" s="1"/>
      <c r="I499" s="1"/>
      <c r="J499" s="1"/>
      <c r="K499" s="1"/>
      <c r="L499" s="1"/>
      <c r="M499" s="1"/>
      <c r="N499" s="530"/>
      <c r="O499" s="530"/>
      <c r="P499" s="530"/>
      <c r="Q499" s="530"/>
      <c r="R499" s="2"/>
      <c r="S499" s="1"/>
      <c r="T499" s="2"/>
    </row>
    <row r="500" spans="2:20" s="3" customFormat="1" ht="12" customHeight="1">
      <c r="B500" s="1"/>
      <c r="C500" s="1"/>
      <c r="D500" s="1"/>
      <c r="E500" s="1"/>
      <c r="F500" s="1"/>
      <c r="G500" s="1"/>
      <c r="H500" s="1"/>
      <c r="I500" s="1"/>
      <c r="J500" s="1"/>
      <c r="K500" s="1"/>
      <c r="L500" s="1"/>
      <c r="M500" s="1"/>
      <c r="N500" s="530"/>
      <c r="O500" s="530"/>
      <c r="P500" s="530"/>
      <c r="Q500" s="530"/>
      <c r="R500" s="2"/>
      <c r="S500" s="1"/>
      <c r="T500" s="2"/>
    </row>
    <row r="501" spans="2:20" s="3" customFormat="1" ht="12" customHeight="1">
      <c r="B501" s="1"/>
      <c r="C501" s="1"/>
      <c r="D501" s="1"/>
      <c r="E501" s="1"/>
      <c r="F501" s="1"/>
      <c r="G501" s="1"/>
      <c r="H501" s="1"/>
      <c r="I501" s="1"/>
      <c r="J501" s="1"/>
      <c r="K501" s="1"/>
      <c r="L501" s="1"/>
      <c r="M501" s="1"/>
      <c r="N501" s="530"/>
      <c r="O501" s="530"/>
      <c r="P501" s="530"/>
      <c r="Q501" s="530"/>
      <c r="R501" s="2"/>
      <c r="S501" s="1"/>
      <c r="T501" s="2"/>
    </row>
    <row r="502" spans="2:20" s="3" customFormat="1" ht="12" customHeight="1">
      <c r="B502" s="1"/>
      <c r="C502" s="1"/>
      <c r="D502" s="1"/>
      <c r="E502" s="1"/>
      <c r="F502" s="1"/>
      <c r="G502" s="1"/>
      <c r="H502" s="1"/>
      <c r="I502" s="1"/>
      <c r="J502" s="1"/>
      <c r="K502" s="1"/>
      <c r="L502" s="1"/>
      <c r="M502" s="1"/>
      <c r="N502" s="530"/>
      <c r="O502" s="530"/>
      <c r="P502" s="530"/>
      <c r="Q502" s="530"/>
      <c r="R502" s="2"/>
      <c r="S502" s="1"/>
      <c r="T502" s="2"/>
    </row>
    <row r="503" spans="2:20" s="3" customFormat="1" ht="12" customHeight="1">
      <c r="B503" s="1"/>
      <c r="C503" s="1"/>
      <c r="D503" s="1"/>
      <c r="E503" s="1"/>
      <c r="F503" s="1"/>
      <c r="G503" s="1"/>
      <c r="H503" s="1"/>
      <c r="I503" s="1"/>
      <c r="J503" s="1"/>
      <c r="K503" s="1"/>
      <c r="L503" s="1"/>
      <c r="M503" s="1"/>
      <c r="N503" s="530"/>
      <c r="O503" s="530"/>
      <c r="P503" s="530"/>
      <c r="Q503" s="530"/>
      <c r="R503" s="2"/>
      <c r="S503" s="1"/>
      <c r="T503" s="2"/>
    </row>
    <row r="504" spans="2:20" s="3" customFormat="1" ht="12" customHeight="1">
      <c r="B504" s="1"/>
      <c r="C504" s="1"/>
      <c r="D504" s="1"/>
      <c r="E504" s="1"/>
      <c r="F504" s="1"/>
      <c r="G504" s="1"/>
      <c r="H504" s="1"/>
      <c r="I504" s="1"/>
      <c r="J504" s="1"/>
      <c r="K504" s="1"/>
      <c r="L504" s="1"/>
      <c r="M504" s="1"/>
      <c r="N504" s="530"/>
      <c r="O504" s="530"/>
      <c r="P504" s="530"/>
      <c r="Q504" s="530"/>
      <c r="R504" s="2"/>
      <c r="S504" s="1"/>
      <c r="T504" s="2"/>
    </row>
    <row r="505" spans="2:20" s="3" customFormat="1" ht="12" customHeight="1">
      <c r="B505" s="1"/>
      <c r="C505" s="1"/>
      <c r="D505" s="1"/>
      <c r="E505" s="1"/>
      <c r="F505" s="1"/>
      <c r="G505" s="1"/>
      <c r="H505" s="1"/>
      <c r="I505" s="1"/>
      <c r="J505" s="1"/>
      <c r="K505" s="1"/>
      <c r="L505" s="1"/>
      <c r="M505" s="1"/>
      <c r="N505" s="530"/>
      <c r="O505" s="530"/>
      <c r="P505" s="530"/>
      <c r="Q505" s="530"/>
      <c r="R505" s="2"/>
      <c r="S505" s="1"/>
      <c r="T505" s="2"/>
    </row>
    <row r="506" spans="2:20" s="3" customFormat="1" ht="12" customHeight="1">
      <c r="B506" s="1"/>
      <c r="C506" s="1"/>
      <c r="D506" s="1"/>
      <c r="E506" s="1"/>
      <c r="F506" s="1"/>
      <c r="G506" s="1"/>
      <c r="H506" s="1"/>
      <c r="I506" s="1"/>
      <c r="J506" s="1"/>
      <c r="K506" s="1"/>
      <c r="L506" s="1"/>
      <c r="M506" s="1"/>
      <c r="N506" s="530"/>
      <c r="O506" s="530"/>
      <c r="P506" s="530"/>
      <c r="Q506" s="530"/>
      <c r="R506" s="2"/>
      <c r="S506" s="1"/>
      <c r="T506" s="2"/>
    </row>
    <row r="507" spans="2:20" s="3" customFormat="1" ht="12" customHeight="1">
      <c r="B507" s="1"/>
      <c r="C507" s="1"/>
      <c r="D507" s="1"/>
      <c r="E507" s="1"/>
      <c r="F507" s="1"/>
      <c r="G507" s="1"/>
      <c r="H507" s="1"/>
      <c r="I507" s="1"/>
      <c r="J507" s="1"/>
      <c r="K507" s="1"/>
      <c r="L507" s="1"/>
      <c r="M507" s="1"/>
      <c r="N507" s="530"/>
      <c r="O507" s="530"/>
      <c r="P507" s="530"/>
      <c r="Q507" s="530"/>
      <c r="R507" s="2"/>
      <c r="S507" s="1"/>
      <c r="T507" s="2"/>
    </row>
    <row r="508" spans="2:20" s="3" customFormat="1" ht="12" customHeight="1">
      <c r="B508" s="1"/>
      <c r="C508" s="1"/>
      <c r="D508" s="1"/>
      <c r="E508" s="1"/>
      <c r="F508" s="1"/>
      <c r="G508" s="1"/>
      <c r="H508" s="1"/>
      <c r="I508" s="1"/>
      <c r="J508" s="1"/>
      <c r="K508" s="1"/>
      <c r="L508" s="1"/>
      <c r="M508" s="1"/>
      <c r="N508" s="530"/>
      <c r="O508" s="530"/>
      <c r="P508" s="530"/>
      <c r="Q508" s="530"/>
      <c r="R508" s="2"/>
      <c r="S508" s="1"/>
      <c r="T508" s="2"/>
    </row>
    <row r="509" spans="2:20" s="3" customFormat="1" ht="12" customHeight="1">
      <c r="B509" s="1"/>
      <c r="C509" s="1"/>
      <c r="D509" s="1"/>
      <c r="E509" s="1"/>
      <c r="F509" s="1"/>
      <c r="G509" s="1"/>
      <c r="H509" s="1"/>
      <c r="I509" s="1"/>
      <c r="J509" s="1"/>
      <c r="K509" s="1"/>
      <c r="L509" s="1"/>
      <c r="M509" s="1"/>
      <c r="N509" s="530"/>
      <c r="O509" s="530"/>
      <c r="P509" s="530"/>
      <c r="Q509" s="530"/>
      <c r="R509" s="2"/>
      <c r="S509" s="1"/>
      <c r="T509" s="2"/>
    </row>
    <row r="510" spans="2:20" s="3" customFormat="1" ht="12" customHeight="1">
      <c r="B510" s="1"/>
      <c r="C510" s="1"/>
      <c r="D510" s="1"/>
      <c r="E510" s="1"/>
      <c r="F510" s="1"/>
      <c r="G510" s="1"/>
      <c r="H510" s="1"/>
      <c r="I510" s="1"/>
      <c r="J510" s="1"/>
      <c r="K510" s="1"/>
      <c r="L510" s="1"/>
      <c r="M510" s="1"/>
      <c r="N510" s="530"/>
      <c r="O510" s="530"/>
      <c r="P510" s="530"/>
      <c r="Q510" s="530"/>
      <c r="R510" s="2"/>
      <c r="S510" s="1"/>
      <c r="T510" s="2"/>
    </row>
    <row r="511" spans="2:20" s="3" customFormat="1" ht="12" customHeight="1">
      <c r="B511" s="1"/>
      <c r="C511" s="1"/>
      <c r="D511" s="1"/>
      <c r="E511" s="1"/>
      <c r="F511" s="1"/>
      <c r="G511" s="1"/>
      <c r="H511" s="1"/>
      <c r="I511" s="1"/>
      <c r="J511" s="1"/>
      <c r="K511" s="1"/>
      <c r="L511" s="1"/>
      <c r="M511" s="1"/>
      <c r="N511" s="530"/>
      <c r="O511" s="530"/>
      <c r="P511" s="530"/>
      <c r="Q511" s="530"/>
      <c r="R511" s="2"/>
      <c r="S511" s="1"/>
      <c r="T511" s="2"/>
    </row>
    <row r="512" spans="2:20" s="3" customFormat="1" ht="12" customHeight="1">
      <c r="B512" s="1"/>
      <c r="C512" s="1"/>
      <c r="D512" s="1"/>
      <c r="E512" s="1"/>
      <c r="F512" s="1"/>
      <c r="G512" s="1"/>
      <c r="H512" s="1"/>
      <c r="I512" s="1"/>
      <c r="J512" s="1"/>
      <c r="K512" s="1"/>
      <c r="L512" s="1"/>
      <c r="M512" s="1"/>
      <c r="N512" s="530"/>
      <c r="O512" s="530"/>
      <c r="P512" s="530"/>
      <c r="Q512" s="530"/>
      <c r="R512" s="2"/>
      <c r="S512" s="1"/>
      <c r="T512" s="2"/>
    </row>
    <row r="513" spans="2:20" s="3" customFormat="1" ht="12" customHeight="1">
      <c r="B513" s="1"/>
      <c r="C513" s="1"/>
      <c r="D513" s="1"/>
      <c r="E513" s="1"/>
      <c r="F513" s="1"/>
      <c r="G513" s="1"/>
      <c r="H513" s="1"/>
      <c r="I513" s="1"/>
      <c r="J513" s="1"/>
      <c r="K513" s="1"/>
      <c r="L513" s="1"/>
      <c r="M513" s="1"/>
      <c r="N513" s="530"/>
      <c r="O513" s="530"/>
      <c r="P513" s="530"/>
      <c r="Q513" s="530"/>
      <c r="R513" s="2"/>
      <c r="S513" s="1"/>
      <c r="T513" s="2"/>
    </row>
    <row r="514" spans="2:20" s="3" customFormat="1" ht="12" customHeight="1">
      <c r="B514" s="1"/>
      <c r="C514" s="1"/>
      <c r="D514" s="1"/>
      <c r="E514" s="1"/>
      <c r="F514" s="1"/>
      <c r="G514" s="1"/>
      <c r="H514" s="1"/>
      <c r="I514" s="1"/>
      <c r="J514" s="1"/>
      <c r="K514" s="1"/>
      <c r="L514" s="1"/>
      <c r="M514" s="1"/>
      <c r="N514" s="530"/>
      <c r="O514" s="530"/>
      <c r="P514" s="530"/>
      <c r="Q514" s="530"/>
      <c r="R514" s="2"/>
      <c r="S514" s="1"/>
      <c r="T514" s="2"/>
    </row>
    <row r="515" spans="2:20" s="3" customFormat="1" ht="12" customHeight="1">
      <c r="B515" s="1"/>
      <c r="C515" s="1"/>
      <c r="D515" s="1"/>
      <c r="E515" s="1"/>
      <c r="F515" s="1"/>
      <c r="G515" s="1"/>
      <c r="H515" s="1"/>
      <c r="I515" s="1"/>
      <c r="J515" s="1"/>
      <c r="K515" s="1"/>
      <c r="L515" s="1"/>
      <c r="M515" s="1"/>
      <c r="N515" s="530"/>
      <c r="O515" s="530"/>
      <c r="P515" s="530"/>
      <c r="Q515" s="530"/>
      <c r="R515" s="2"/>
      <c r="S515" s="1"/>
      <c r="T515" s="2"/>
    </row>
    <row r="516" spans="2:20" s="3" customFormat="1" ht="12" customHeight="1">
      <c r="B516" s="1"/>
      <c r="C516" s="1"/>
      <c r="D516" s="1"/>
      <c r="E516" s="1"/>
      <c r="F516" s="1"/>
      <c r="G516" s="1"/>
      <c r="H516" s="1"/>
      <c r="I516" s="1"/>
      <c r="J516" s="1"/>
      <c r="K516" s="1"/>
      <c r="L516" s="1"/>
      <c r="M516" s="1"/>
      <c r="N516" s="530"/>
      <c r="O516" s="530"/>
      <c r="P516" s="530"/>
      <c r="Q516" s="530"/>
      <c r="R516" s="2"/>
      <c r="S516" s="1"/>
      <c r="T516" s="2"/>
    </row>
    <row r="517" spans="2:20" s="3" customFormat="1" ht="12" customHeight="1">
      <c r="B517" s="1"/>
      <c r="C517" s="1"/>
      <c r="D517" s="1"/>
      <c r="E517" s="1"/>
      <c r="F517" s="1"/>
      <c r="G517" s="1"/>
      <c r="H517" s="1"/>
      <c r="I517" s="1"/>
      <c r="J517" s="1"/>
      <c r="K517" s="1"/>
      <c r="L517" s="1"/>
      <c r="M517" s="1"/>
      <c r="N517" s="530"/>
      <c r="O517" s="530"/>
      <c r="P517" s="530"/>
      <c r="Q517" s="530"/>
      <c r="R517" s="2"/>
      <c r="S517" s="1"/>
      <c r="T517" s="2"/>
    </row>
    <row r="518" spans="2:20" s="3" customFormat="1" ht="12" customHeight="1">
      <c r="B518" s="1"/>
      <c r="C518" s="1"/>
      <c r="D518" s="1"/>
      <c r="E518" s="1"/>
      <c r="F518" s="1"/>
      <c r="G518" s="1"/>
      <c r="H518" s="1"/>
      <c r="I518" s="1"/>
      <c r="J518" s="1"/>
      <c r="K518" s="1"/>
      <c r="L518" s="1"/>
      <c r="M518" s="1"/>
      <c r="N518" s="530"/>
      <c r="O518" s="530"/>
      <c r="P518" s="530"/>
      <c r="Q518" s="530"/>
      <c r="R518" s="2"/>
      <c r="S518" s="1"/>
      <c r="T518" s="2"/>
    </row>
    <row r="519" spans="2:20" s="3" customFormat="1" ht="12" customHeight="1">
      <c r="B519" s="1"/>
      <c r="C519" s="1"/>
      <c r="D519" s="1"/>
      <c r="E519" s="1"/>
      <c r="F519" s="1"/>
      <c r="G519" s="1"/>
      <c r="H519" s="1"/>
      <c r="I519" s="1"/>
      <c r="J519" s="1"/>
      <c r="K519" s="1"/>
      <c r="L519" s="1"/>
      <c r="M519" s="1"/>
      <c r="N519" s="530"/>
      <c r="O519" s="530"/>
      <c r="P519" s="530"/>
      <c r="Q519" s="530"/>
      <c r="R519" s="2"/>
      <c r="S519" s="1"/>
      <c r="T519" s="2"/>
    </row>
    <row r="520" spans="2:20" s="3" customFormat="1" ht="12" customHeight="1">
      <c r="B520" s="1"/>
      <c r="C520" s="1"/>
      <c r="D520" s="1"/>
      <c r="E520" s="1"/>
      <c r="F520" s="1"/>
      <c r="G520" s="1"/>
      <c r="H520" s="1"/>
      <c r="I520" s="1"/>
      <c r="J520" s="1"/>
      <c r="K520" s="1"/>
      <c r="L520" s="1"/>
      <c r="M520" s="1"/>
      <c r="N520" s="530"/>
      <c r="O520" s="530"/>
      <c r="P520" s="530"/>
      <c r="Q520" s="530"/>
      <c r="R520" s="2"/>
      <c r="S520" s="1"/>
      <c r="T520" s="2"/>
    </row>
    <row r="521" spans="2:20" s="3" customFormat="1" ht="12" customHeight="1">
      <c r="B521" s="1"/>
      <c r="C521" s="1"/>
      <c r="D521" s="1"/>
      <c r="E521" s="1"/>
      <c r="F521" s="1"/>
      <c r="G521" s="1"/>
      <c r="H521" s="1"/>
      <c r="I521" s="1"/>
      <c r="J521" s="1"/>
      <c r="K521" s="1"/>
      <c r="L521" s="1"/>
      <c r="M521" s="1"/>
      <c r="N521" s="530"/>
      <c r="O521" s="530"/>
      <c r="P521" s="530"/>
      <c r="Q521" s="530"/>
      <c r="R521" s="2"/>
      <c r="S521" s="1"/>
      <c r="T521" s="2"/>
    </row>
    <row r="522" spans="2:20" s="3" customFormat="1" ht="12" customHeight="1">
      <c r="B522" s="1"/>
      <c r="C522" s="1"/>
      <c r="D522" s="1"/>
      <c r="E522" s="1"/>
      <c r="F522" s="1"/>
      <c r="G522" s="1"/>
      <c r="H522" s="1"/>
      <c r="I522" s="1"/>
      <c r="J522" s="1"/>
      <c r="K522" s="1"/>
      <c r="L522" s="1"/>
      <c r="M522" s="1"/>
      <c r="N522" s="530"/>
      <c r="O522" s="530"/>
      <c r="P522" s="530"/>
      <c r="Q522" s="530"/>
      <c r="R522" s="2"/>
      <c r="S522" s="1"/>
      <c r="T522" s="2"/>
    </row>
    <row r="523" spans="2:20" s="3" customFormat="1" ht="12" customHeight="1">
      <c r="B523" s="1"/>
      <c r="C523" s="1"/>
      <c r="D523" s="1"/>
      <c r="E523" s="1"/>
      <c r="F523" s="1"/>
      <c r="G523" s="1"/>
      <c r="H523" s="1"/>
      <c r="I523" s="1"/>
      <c r="J523" s="1"/>
      <c r="K523" s="1"/>
      <c r="L523" s="1"/>
      <c r="M523" s="1"/>
      <c r="N523" s="530"/>
      <c r="O523" s="530"/>
      <c r="P523" s="530"/>
      <c r="Q523" s="530"/>
      <c r="R523" s="2"/>
      <c r="S523" s="1"/>
      <c r="T523" s="2"/>
    </row>
    <row r="524" spans="2:20" s="3" customFormat="1" ht="12" customHeight="1">
      <c r="B524" s="1"/>
      <c r="C524" s="1"/>
      <c r="D524" s="1"/>
      <c r="E524" s="1"/>
      <c r="F524" s="1"/>
      <c r="G524" s="1"/>
      <c r="H524" s="1"/>
      <c r="I524" s="1"/>
      <c r="J524" s="1"/>
      <c r="K524" s="1"/>
      <c r="L524" s="1"/>
      <c r="M524" s="1"/>
      <c r="N524" s="530"/>
      <c r="O524" s="530"/>
      <c r="P524" s="530"/>
      <c r="Q524" s="530"/>
      <c r="R524" s="2"/>
      <c r="S524" s="1"/>
      <c r="T524" s="2"/>
    </row>
    <row r="525" spans="2:20" s="3" customFormat="1" ht="12" customHeight="1">
      <c r="B525" s="1"/>
      <c r="C525" s="1"/>
      <c r="D525" s="1"/>
      <c r="E525" s="1"/>
      <c r="F525" s="1"/>
      <c r="G525" s="1"/>
      <c r="H525" s="1"/>
      <c r="I525" s="1"/>
      <c r="J525" s="1"/>
      <c r="K525" s="1"/>
      <c r="L525" s="1"/>
      <c r="M525" s="1"/>
      <c r="N525" s="530"/>
      <c r="O525" s="530"/>
      <c r="P525" s="530"/>
      <c r="Q525" s="530"/>
      <c r="R525" s="2"/>
      <c r="S525" s="1"/>
      <c r="T525" s="2"/>
    </row>
    <row r="526" spans="2:20" s="3" customFormat="1" ht="12" customHeight="1">
      <c r="B526" s="1"/>
      <c r="C526" s="1"/>
      <c r="D526" s="1"/>
      <c r="E526" s="1"/>
      <c r="F526" s="1"/>
      <c r="G526" s="1"/>
      <c r="H526" s="1"/>
      <c r="I526" s="1"/>
      <c r="J526" s="1"/>
      <c r="K526" s="1"/>
      <c r="L526" s="1"/>
      <c r="M526" s="1"/>
      <c r="N526" s="530"/>
      <c r="O526" s="530"/>
      <c r="P526" s="530"/>
      <c r="Q526" s="530"/>
      <c r="R526" s="2"/>
      <c r="S526" s="1"/>
      <c r="T526" s="2"/>
    </row>
    <row r="527" spans="2:20" s="3" customFormat="1" ht="12" customHeight="1">
      <c r="B527" s="1"/>
      <c r="C527" s="1"/>
      <c r="D527" s="1"/>
      <c r="E527" s="1"/>
      <c r="F527" s="1"/>
      <c r="G527" s="1"/>
      <c r="H527" s="1"/>
      <c r="I527" s="1"/>
      <c r="J527" s="1"/>
      <c r="K527" s="1"/>
      <c r="L527" s="1"/>
      <c r="M527" s="1"/>
      <c r="N527" s="530"/>
      <c r="O527" s="530"/>
      <c r="P527" s="530"/>
      <c r="Q527" s="530"/>
      <c r="R527" s="2"/>
      <c r="S527" s="1"/>
      <c r="T527" s="2"/>
    </row>
    <row r="528" spans="2:20" s="3" customFormat="1" ht="12" customHeight="1">
      <c r="B528" s="1"/>
      <c r="C528" s="1"/>
      <c r="D528" s="1"/>
      <c r="E528" s="1"/>
      <c r="F528" s="1"/>
      <c r="G528" s="1"/>
      <c r="H528" s="1"/>
      <c r="I528" s="1"/>
      <c r="J528" s="1"/>
      <c r="K528" s="1"/>
      <c r="L528" s="1"/>
      <c r="M528" s="1"/>
      <c r="N528" s="530"/>
      <c r="O528" s="530"/>
      <c r="P528" s="530"/>
      <c r="Q528" s="530"/>
      <c r="R528" s="2"/>
      <c r="S528" s="1"/>
      <c r="T528" s="2"/>
    </row>
    <row r="529" spans="2:20" s="3" customFormat="1" ht="12" customHeight="1">
      <c r="B529" s="1"/>
      <c r="C529" s="1"/>
      <c r="D529" s="1"/>
      <c r="E529" s="1"/>
      <c r="F529" s="1"/>
      <c r="G529" s="1"/>
      <c r="H529" s="1"/>
      <c r="I529" s="1"/>
      <c r="J529" s="1"/>
      <c r="K529" s="1"/>
      <c r="L529" s="1"/>
      <c r="M529" s="1"/>
      <c r="N529" s="530"/>
      <c r="O529" s="530"/>
      <c r="P529" s="530"/>
      <c r="Q529" s="530"/>
      <c r="R529" s="2"/>
      <c r="S529" s="1"/>
      <c r="T529" s="2"/>
    </row>
    <row r="530" spans="2:20" s="3" customFormat="1" ht="12" customHeight="1">
      <c r="B530" s="1"/>
      <c r="C530" s="1"/>
      <c r="D530" s="1"/>
      <c r="E530" s="1"/>
      <c r="F530" s="1"/>
      <c r="G530" s="1"/>
      <c r="H530" s="1"/>
      <c r="I530" s="1"/>
      <c r="J530" s="1"/>
      <c r="K530" s="1"/>
      <c r="L530" s="1"/>
      <c r="M530" s="1"/>
      <c r="N530" s="530"/>
      <c r="O530" s="530"/>
      <c r="P530" s="530"/>
      <c r="Q530" s="530"/>
      <c r="R530" s="2"/>
      <c r="S530" s="1"/>
      <c r="T530" s="2"/>
    </row>
    <row r="531" spans="2:20" s="3" customFormat="1" ht="12" customHeight="1">
      <c r="B531" s="1"/>
      <c r="C531" s="1"/>
      <c r="D531" s="1"/>
      <c r="E531" s="1"/>
      <c r="F531" s="1"/>
      <c r="G531" s="1"/>
      <c r="H531" s="1"/>
      <c r="I531" s="1"/>
      <c r="J531" s="1"/>
      <c r="K531" s="1"/>
      <c r="L531" s="1"/>
      <c r="M531" s="1"/>
      <c r="N531" s="530"/>
      <c r="O531" s="530"/>
      <c r="P531" s="530"/>
      <c r="Q531" s="530"/>
      <c r="R531" s="2"/>
      <c r="S531" s="1"/>
      <c r="T531" s="2"/>
    </row>
    <row r="532" spans="2:20" s="3" customFormat="1" ht="12" customHeight="1">
      <c r="B532" s="1"/>
      <c r="C532" s="1"/>
      <c r="D532" s="1"/>
      <c r="E532" s="1"/>
      <c r="F532" s="1"/>
      <c r="G532" s="1"/>
      <c r="H532" s="1"/>
      <c r="I532" s="1"/>
      <c r="J532" s="1"/>
      <c r="K532" s="1"/>
      <c r="L532" s="1"/>
      <c r="M532" s="1"/>
      <c r="N532" s="530"/>
      <c r="O532" s="530"/>
      <c r="P532" s="530"/>
      <c r="Q532" s="530"/>
      <c r="R532" s="2"/>
      <c r="S532" s="1"/>
      <c r="T532" s="2"/>
    </row>
    <row r="533" spans="2:20" s="3" customFormat="1" ht="12" customHeight="1">
      <c r="B533" s="1"/>
      <c r="C533" s="1"/>
      <c r="D533" s="1"/>
      <c r="E533" s="1"/>
      <c r="F533" s="1"/>
      <c r="G533" s="1"/>
      <c r="H533" s="1"/>
      <c r="I533" s="1"/>
      <c r="J533" s="1"/>
      <c r="K533" s="1"/>
      <c r="L533" s="1"/>
      <c r="M533" s="1"/>
      <c r="N533" s="530"/>
      <c r="O533" s="530"/>
      <c r="P533" s="530"/>
      <c r="Q533" s="530"/>
      <c r="R533" s="2"/>
      <c r="S533" s="1"/>
      <c r="T533" s="2"/>
    </row>
    <row r="534" spans="2:20" s="3" customFormat="1" ht="12" customHeight="1">
      <c r="B534" s="1"/>
      <c r="C534" s="1"/>
      <c r="D534" s="1"/>
      <c r="E534" s="1"/>
      <c r="F534" s="1"/>
      <c r="G534" s="1"/>
      <c r="H534" s="1"/>
      <c r="I534" s="1"/>
      <c r="J534" s="1"/>
      <c r="K534" s="1"/>
      <c r="L534" s="1"/>
      <c r="M534" s="1"/>
      <c r="N534" s="530"/>
      <c r="O534" s="530"/>
      <c r="P534" s="530"/>
      <c r="Q534" s="530"/>
      <c r="R534" s="2"/>
      <c r="S534" s="1"/>
      <c r="T534" s="2"/>
    </row>
    <row r="535" spans="2:20" s="3" customFormat="1" ht="12" customHeight="1">
      <c r="B535" s="1"/>
      <c r="C535" s="1"/>
      <c r="D535" s="1"/>
      <c r="E535" s="1"/>
      <c r="F535" s="1"/>
      <c r="G535" s="1"/>
      <c r="H535" s="1"/>
      <c r="I535" s="1"/>
      <c r="J535" s="1"/>
      <c r="K535" s="1"/>
      <c r="L535" s="1"/>
      <c r="M535" s="1"/>
      <c r="N535" s="530"/>
      <c r="O535" s="530"/>
      <c r="P535" s="530"/>
      <c r="Q535" s="530"/>
      <c r="R535" s="2"/>
      <c r="S535" s="1"/>
      <c r="T535" s="2"/>
    </row>
    <row r="536" spans="2:20" s="3" customFormat="1" ht="12" customHeight="1">
      <c r="B536" s="1"/>
      <c r="C536" s="1"/>
      <c r="D536" s="1"/>
      <c r="E536" s="1"/>
      <c r="F536" s="1"/>
      <c r="G536" s="1"/>
      <c r="H536" s="1"/>
      <c r="I536" s="1"/>
      <c r="J536" s="1"/>
      <c r="K536" s="1"/>
      <c r="L536" s="1"/>
      <c r="M536" s="1"/>
      <c r="N536" s="530"/>
      <c r="O536" s="530"/>
      <c r="P536" s="530"/>
      <c r="Q536" s="530"/>
      <c r="R536" s="2"/>
      <c r="S536" s="1"/>
      <c r="T536" s="2"/>
    </row>
    <row r="537" spans="2:20" s="3" customFormat="1" ht="12" customHeight="1">
      <c r="B537" s="1"/>
      <c r="C537" s="1"/>
      <c r="D537" s="1"/>
      <c r="E537" s="1"/>
      <c r="F537" s="1"/>
      <c r="G537" s="1"/>
      <c r="H537" s="1"/>
      <c r="I537" s="1"/>
      <c r="J537" s="1"/>
      <c r="K537" s="1"/>
      <c r="L537" s="1"/>
      <c r="M537" s="1"/>
      <c r="N537" s="530"/>
      <c r="O537" s="530"/>
      <c r="P537" s="530"/>
      <c r="Q537" s="530"/>
      <c r="R537" s="2"/>
      <c r="S537" s="1"/>
      <c r="T537" s="2"/>
    </row>
  </sheetData>
  <sheetProtection password="C420" sheet="1" objects="1" scenarios="1"/>
  <mergeCells count="12">
    <mergeCell ref="B29:D29"/>
    <mergeCell ref="A1:D2"/>
    <mergeCell ref="B87:D87"/>
    <mergeCell ref="L8:L10"/>
    <mergeCell ref="R9:U9"/>
    <mergeCell ref="L11:L17"/>
    <mergeCell ref="B8:D8"/>
    <mergeCell ref="F1:J1"/>
    <mergeCell ref="F2:J2"/>
    <mergeCell ref="B4:D4"/>
    <mergeCell ref="B14:D14"/>
    <mergeCell ref="B23:D23"/>
  </mergeCells>
  <dataValidations count="1">
    <dataValidation showInputMessage="1" showErrorMessage="1" sqref="G36 G53"/>
  </dataValidations>
  <pageMargins left="0.5" right="0.5" top="0.5" bottom="0.5" header="0.5" footer="0.5"/>
  <pageSetup scale="75" orientation="portrait" r:id="rId1"/>
  <headerFooter alignWithMargins="0">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tint="0.79998168889431442"/>
  </sheetPr>
  <dimension ref="A1:W155"/>
  <sheetViews>
    <sheetView showGridLines="0" zoomScaleNormal="100" workbookViewId="0">
      <selection activeCell="M18" sqref="M18"/>
    </sheetView>
  </sheetViews>
  <sheetFormatPr defaultRowHeight="12.75"/>
  <cols>
    <col min="1" max="1" width="2.7109375" style="34" customWidth="1"/>
    <col min="2" max="2" width="9.85546875" style="15" customWidth="1"/>
    <col min="3" max="3" width="23.7109375" style="15" bestFit="1" customWidth="1"/>
    <col min="4" max="4" width="8.42578125" style="15" customWidth="1"/>
    <col min="5" max="5" width="11.42578125" style="15" customWidth="1"/>
    <col min="6" max="6" width="9.28515625" style="15" customWidth="1"/>
    <col min="7" max="7" width="6.140625" style="15" customWidth="1"/>
    <col min="8" max="8" width="9.7109375" style="15" customWidth="1"/>
    <col min="9" max="9" width="19.140625" style="15" customWidth="1"/>
    <col min="10" max="10" width="7.7109375" style="15" customWidth="1"/>
    <col min="11" max="11" width="9.5703125" style="15" customWidth="1"/>
    <col min="12" max="12" width="9.28515625" style="15" customWidth="1"/>
    <col min="13" max="13" width="26.85546875" style="15" customWidth="1"/>
    <col min="14" max="14" width="7.85546875" style="15" customWidth="1"/>
    <col min="15" max="15" width="10.28515625" style="15" customWidth="1"/>
    <col min="16" max="16384" width="9.140625" style="15"/>
  </cols>
  <sheetData>
    <row r="1" spans="1:16" s="16" customFormat="1" ht="18" customHeight="1">
      <c r="A1" s="832" t="s">
        <v>626</v>
      </c>
      <c r="B1" s="833"/>
      <c r="C1" s="833"/>
      <c r="D1" s="833"/>
      <c r="E1" s="833"/>
      <c r="F1" s="607"/>
      <c r="G1" s="601" t="s">
        <v>809</v>
      </c>
      <c r="H1" s="828">
        <f>PercTest!G1</f>
        <v>2345</v>
      </c>
      <c r="I1" s="828"/>
      <c r="J1" s="828"/>
      <c r="K1" s="829"/>
      <c r="L1" s="70"/>
      <c r="M1" s="70"/>
      <c r="N1" s="70"/>
      <c r="O1" s="70"/>
      <c r="P1" s="70"/>
    </row>
    <row r="2" spans="1:16" s="16" customFormat="1" ht="14.25" customHeight="1">
      <c r="A2" s="834"/>
      <c r="B2" s="835"/>
      <c r="C2" s="835"/>
      <c r="D2" s="835"/>
      <c r="E2" s="835"/>
      <c r="F2" s="609"/>
      <c r="G2" s="600" t="s">
        <v>803</v>
      </c>
      <c r="H2" s="830" t="str">
        <f>IF(ISBLANK('Site Evaluation'!B6),"",'Site Evaluation'!B6)</f>
        <v/>
      </c>
      <c r="I2" s="830"/>
      <c r="J2" s="830"/>
      <c r="K2" s="831"/>
      <c r="L2" s="70"/>
      <c r="M2" s="70"/>
      <c r="N2" s="70"/>
      <c r="O2" s="70"/>
      <c r="P2" s="70"/>
    </row>
    <row r="3" spans="1:16" s="16" customFormat="1" ht="12" customHeight="1">
      <c r="A3" s="242"/>
      <c r="B3" s="242"/>
      <c r="C3" s="243"/>
      <c r="D3" s="242"/>
      <c r="E3" s="243"/>
      <c r="F3" s="242"/>
      <c r="G3" s="242"/>
      <c r="H3" s="242"/>
      <c r="I3" s="242"/>
      <c r="J3" s="242"/>
      <c r="K3" s="242"/>
      <c r="L3" s="70"/>
      <c r="M3" s="70"/>
      <c r="N3" s="70"/>
      <c r="O3" s="70"/>
      <c r="P3" s="70"/>
    </row>
    <row r="4" spans="1:16" s="17" customFormat="1" ht="12" customHeight="1">
      <c r="A4" s="242"/>
      <c r="B4" s="242"/>
      <c r="C4" s="243"/>
      <c r="D4" s="242"/>
      <c r="E4" s="243"/>
      <c r="F4" s="242"/>
      <c r="G4" s="242"/>
      <c r="H4" s="242"/>
      <c r="I4" s="242"/>
      <c r="J4" s="242"/>
      <c r="K4" s="242"/>
      <c r="L4" s="68"/>
      <c r="M4" s="68"/>
      <c r="N4" s="68"/>
      <c r="O4" s="68"/>
      <c r="P4" s="67"/>
    </row>
    <row r="5" spans="1:16" ht="14.25" customHeight="1">
      <c r="A5" s="299" t="s">
        <v>57</v>
      </c>
      <c r="B5" s="242" t="s">
        <v>305</v>
      </c>
      <c r="C5" s="242"/>
      <c r="D5" s="242"/>
      <c r="E5" s="242"/>
      <c r="F5" s="247">
        <v>4</v>
      </c>
      <c r="G5" s="242"/>
      <c r="H5" s="242"/>
      <c r="I5" s="242"/>
      <c r="J5" s="242"/>
      <c r="K5" s="242"/>
      <c r="L5" s="68"/>
      <c r="M5" s="68"/>
      <c r="N5" s="68"/>
      <c r="O5" s="68"/>
      <c r="P5" s="67"/>
    </row>
    <row r="6" spans="1:16" ht="15" customHeight="1">
      <c r="A6" s="299"/>
      <c r="B6" s="242"/>
      <c r="C6" s="242"/>
      <c r="D6" s="242"/>
      <c r="E6" s="242"/>
      <c r="F6" s="364"/>
      <c r="G6" s="242"/>
      <c r="H6" s="242"/>
      <c r="I6" s="242"/>
      <c r="J6" s="242"/>
      <c r="K6" s="242"/>
      <c r="L6" s="68"/>
      <c r="M6" s="68"/>
      <c r="N6" s="68"/>
      <c r="O6" s="68"/>
      <c r="P6" s="67"/>
    </row>
    <row r="7" spans="1:16" ht="11.25" customHeight="1">
      <c r="A7" s="362"/>
      <c r="B7" s="353"/>
      <c r="C7" s="353"/>
      <c r="D7" s="353"/>
      <c r="E7" s="353"/>
      <c r="F7" s="371"/>
      <c r="G7" s="353"/>
      <c r="H7" s="353"/>
      <c r="I7" s="353"/>
      <c r="J7" s="353"/>
      <c r="K7" s="355"/>
      <c r="L7" s="68"/>
      <c r="M7" s="68"/>
      <c r="N7" s="68"/>
      <c r="O7" s="68"/>
      <c r="P7" s="67"/>
    </row>
    <row r="8" spans="1:16" ht="9" customHeight="1">
      <c r="A8" s="299"/>
      <c r="B8" s="242"/>
      <c r="C8" s="242"/>
      <c r="D8" s="242"/>
      <c r="E8" s="242"/>
      <c r="F8" s="364"/>
      <c r="G8" s="242"/>
      <c r="H8" s="242"/>
      <c r="I8" s="242"/>
      <c r="J8" s="242"/>
      <c r="K8" s="242"/>
      <c r="L8" s="68"/>
      <c r="M8" s="68"/>
      <c r="N8" s="68"/>
      <c r="O8" s="68"/>
      <c r="P8" s="67"/>
    </row>
    <row r="9" spans="1:16" ht="17.25" customHeight="1">
      <c r="A9" s="299" t="s">
        <v>64</v>
      </c>
      <c r="B9" s="242" t="s">
        <v>304</v>
      </c>
      <c r="C9" s="242"/>
      <c r="D9" s="242"/>
      <c r="E9" s="247">
        <v>3</v>
      </c>
      <c r="F9" s="242" t="s">
        <v>26</v>
      </c>
      <c r="G9" s="242"/>
      <c r="H9" s="242"/>
      <c r="I9" s="242"/>
      <c r="J9" s="242"/>
      <c r="K9" s="242"/>
      <c r="L9" s="68"/>
      <c r="M9" s="68"/>
      <c r="N9" s="68"/>
      <c r="O9" s="68"/>
      <c r="P9" s="67"/>
    </row>
    <row r="10" spans="1:16" ht="9" customHeight="1">
      <c r="A10" s="299"/>
      <c r="B10" s="242"/>
      <c r="C10" s="242"/>
      <c r="D10" s="242"/>
      <c r="E10" s="364"/>
      <c r="F10" s="242"/>
      <c r="G10" s="242"/>
      <c r="H10" s="242"/>
      <c r="I10" s="242"/>
      <c r="J10" s="242"/>
      <c r="K10" s="242"/>
      <c r="L10" s="68"/>
      <c r="M10" s="68"/>
      <c r="N10" s="68"/>
      <c r="O10" s="68"/>
      <c r="P10" s="67"/>
    </row>
    <row r="11" spans="1:16" ht="11.25" customHeight="1">
      <c r="A11" s="362"/>
      <c r="B11" s="353"/>
      <c r="C11" s="353"/>
      <c r="D11" s="353"/>
      <c r="E11" s="371"/>
      <c r="F11" s="353"/>
      <c r="G11" s="353"/>
      <c r="H11" s="353"/>
      <c r="I11" s="353"/>
      <c r="J11" s="353"/>
      <c r="K11" s="355"/>
      <c r="L11" s="68"/>
      <c r="M11" s="68"/>
      <c r="N11" s="68"/>
      <c r="O11" s="68"/>
      <c r="P11" s="67"/>
    </row>
    <row r="12" spans="1:16" ht="10.5" customHeight="1">
      <c r="A12" s="299"/>
      <c r="B12" s="242"/>
      <c r="C12" s="242"/>
      <c r="D12" s="242"/>
      <c r="E12" s="364"/>
      <c r="F12" s="242"/>
      <c r="G12" s="242"/>
      <c r="H12" s="242"/>
      <c r="I12" s="242"/>
      <c r="J12" s="242"/>
      <c r="K12" s="242"/>
      <c r="L12" s="68"/>
      <c r="M12" s="68"/>
      <c r="N12" s="68"/>
      <c r="O12" s="68"/>
      <c r="P12" s="67"/>
    </row>
    <row r="13" spans="1:16" ht="15.75">
      <c r="A13" s="299" t="s">
        <v>63</v>
      </c>
      <c r="B13" s="242" t="s">
        <v>303</v>
      </c>
      <c r="C13" s="242"/>
      <c r="D13" s="242"/>
      <c r="E13" s="242"/>
      <c r="F13" s="242"/>
      <c r="G13" s="242"/>
      <c r="H13" s="242"/>
      <c r="I13" s="242"/>
      <c r="J13" s="242"/>
      <c r="K13" s="242"/>
      <c r="L13" s="68"/>
      <c r="M13" s="68"/>
      <c r="N13" s="68"/>
      <c r="O13" s="68"/>
      <c r="P13" s="67"/>
    </row>
    <row r="14" spans="1:16" ht="15.75">
      <c r="A14" s="299"/>
      <c r="B14" s="242" t="s">
        <v>302</v>
      </c>
      <c r="C14" s="242"/>
      <c r="D14" s="242"/>
      <c r="E14" s="242"/>
      <c r="F14" s="242"/>
      <c r="G14" s="242"/>
      <c r="H14" s="242"/>
      <c r="I14" s="242"/>
      <c r="J14" s="242"/>
      <c r="K14" s="242"/>
      <c r="L14" s="68"/>
      <c r="M14" s="68"/>
      <c r="N14" s="68"/>
      <c r="O14" s="68"/>
      <c r="P14" s="67"/>
    </row>
    <row r="15" spans="1:16" ht="15.75">
      <c r="A15" s="299"/>
      <c r="B15" s="242" t="s">
        <v>301</v>
      </c>
      <c r="C15" s="242"/>
      <c r="D15" s="242"/>
      <c r="E15" s="242"/>
      <c r="F15" s="242"/>
      <c r="G15" s="242"/>
      <c r="H15" s="242"/>
      <c r="I15" s="242"/>
      <c r="J15" s="242"/>
      <c r="K15" s="242"/>
      <c r="L15" s="68"/>
      <c r="M15" s="68"/>
      <c r="N15" s="68"/>
      <c r="O15" s="68"/>
      <c r="P15" s="67"/>
    </row>
    <row r="16" spans="1:16" ht="12" customHeight="1" thickBot="1">
      <c r="A16" s="299"/>
      <c r="B16" s="242"/>
      <c r="C16" s="242"/>
      <c r="D16" s="242"/>
      <c r="E16" s="242"/>
      <c r="F16" s="242"/>
      <c r="G16" s="242"/>
      <c r="H16" s="242"/>
      <c r="I16" s="242"/>
      <c r="J16" s="242"/>
      <c r="K16" s="242"/>
      <c r="L16" s="68"/>
      <c r="M16" s="68"/>
      <c r="N16" s="68"/>
      <c r="O16" s="68"/>
      <c r="P16" s="67"/>
    </row>
    <row r="17" spans="1:16" ht="16.5" thickBot="1">
      <c r="A17" s="299"/>
      <c r="B17" s="242"/>
      <c r="C17" s="306">
        <f>IF(ISBLANK('Mound&gt;1%'!G42),"",'Mound&gt;1%'!G42)</f>
        <v>38</v>
      </c>
      <c r="D17" s="299" t="s">
        <v>300</v>
      </c>
      <c r="E17" s="304">
        <f>C17-2</f>
        <v>36</v>
      </c>
      <c r="F17" s="242" t="s">
        <v>26</v>
      </c>
      <c r="G17" s="242"/>
      <c r="H17" s="242"/>
      <c r="I17" s="242"/>
      <c r="J17" s="242"/>
      <c r="K17" s="242"/>
      <c r="L17" s="68"/>
      <c r="M17" s="68"/>
      <c r="N17" s="68"/>
      <c r="O17" s="68"/>
      <c r="P17" s="68"/>
    </row>
    <row r="18" spans="1:16" ht="13.5" customHeight="1">
      <c r="A18" s="299"/>
      <c r="B18" s="242"/>
      <c r="C18" s="242"/>
      <c r="D18" s="242"/>
      <c r="E18" s="242"/>
      <c r="F18" s="242"/>
      <c r="G18" s="242"/>
      <c r="H18" s="242"/>
      <c r="I18" s="242"/>
      <c r="J18" s="242"/>
      <c r="K18" s="242"/>
      <c r="L18" s="68"/>
      <c r="M18" s="68"/>
    </row>
    <row r="19" spans="1:16" ht="11.25" customHeight="1">
      <c r="A19" s="362"/>
      <c r="B19" s="353"/>
      <c r="C19" s="353"/>
      <c r="D19" s="353"/>
      <c r="E19" s="353"/>
      <c r="F19" s="353"/>
      <c r="G19" s="353"/>
      <c r="H19" s="353"/>
      <c r="I19" s="353"/>
      <c r="J19" s="353"/>
      <c r="K19" s="355"/>
      <c r="L19" s="68"/>
      <c r="M19" s="68"/>
    </row>
    <row r="20" spans="1:16" ht="13.5" customHeight="1">
      <c r="A20" s="299"/>
      <c r="B20" s="242"/>
      <c r="C20" s="242"/>
      <c r="D20" s="242"/>
      <c r="E20" s="242"/>
      <c r="F20" s="242"/>
      <c r="G20" s="242"/>
      <c r="H20" s="242"/>
      <c r="I20" s="242"/>
      <c r="J20" s="242"/>
      <c r="K20" s="242"/>
      <c r="L20" s="68"/>
      <c r="M20" s="68"/>
    </row>
    <row r="21" spans="1:16" ht="15.75">
      <c r="A21" s="299" t="s">
        <v>37</v>
      </c>
      <c r="B21" s="242" t="s">
        <v>299</v>
      </c>
      <c r="C21" s="242"/>
      <c r="D21" s="242"/>
      <c r="E21" s="242"/>
      <c r="F21" s="242"/>
      <c r="G21" s="242"/>
      <c r="H21" s="242"/>
      <c r="I21" s="242"/>
      <c r="J21" s="242"/>
      <c r="K21" s="242"/>
      <c r="L21" s="68"/>
      <c r="M21" s="68"/>
    </row>
    <row r="22" spans="1:16" ht="15.75">
      <c r="A22" s="299"/>
      <c r="B22" s="253" t="s">
        <v>298</v>
      </c>
      <c r="C22" s="242"/>
      <c r="D22" s="242"/>
      <c r="E22" s="242"/>
      <c r="F22" s="242"/>
      <c r="G22" s="242"/>
      <c r="H22" s="242"/>
      <c r="I22" s="242"/>
      <c r="J22" s="242"/>
      <c r="K22" s="242"/>
      <c r="L22" s="68"/>
      <c r="M22" s="68"/>
    </row>
    <row r="23" spans="1:16" ht="11.25" customHeight="1" thickBot="1">
      <c r="A23" s="299"/>
      <c r="B23" s="242"/>
      <c r="C23" s="242"/>
      <c r="D23" s="242"/>
      <c r="E23" s="242"/>
      <c r="F23" s="242"/>
      <c r="G23" s="242"/>
      <c r="H23" s="242"/>
      <c r="I23" s="242"/>
      <c r="J23" s="242"/>
      <c r="K23" s="242"/>
      <c r="L23" s="68"/>
      <c r="M23" s="68"/>
    </row>
    <row r="24" spans="1:16" ht="16.5" customHeight="1" thickBot="1">
      <c r="A24" s="299"/>
      <c r="B24" s="242"/>
      <c r="C24" s="242" t="s">
        <v>297</v>
      </c>
      <c r="D24" s="242"/>
      <c r="E24" s="306">
        <f>E17</f>
        <v>36</v>
      </c>
      <c r="F24" s="242" t="s">
        <v>296</v>
      </c>
      <c r="G24" s="306">
        <f>E9</f>
        <v>3</v>
      </c>
      <c r="H24" s="242" t="s">
        <v>79</v>
      </c>
      <c r="I24" s="313">
        <f>IF(F5=0,0,ROUNDDOWN((E24/G24),0))</f>
        <v>12</v>
      </c>
      <c r="J24" s="242" t="s">
        <v>26</v>
      </c>
      <c r="L24" s="68"/>
      <c r="M24" s="68"/>
    </row>
    <row r="25" spans="1:16" ht="12" customHeight="1">
      <c r="A25" s="299"/>
      <c r="B25" s="242"/>
      <c r="C25" s="242"/>
      <c r="D25" s="242"/>
      <c r="E25" s="245"/>
      <c r="F25" s="242"/>
      <c r="G25" s="245"/>
      <c r="H25" s="242"/>
      <c r="I25" s="366"/>
      <c r="J25" s="366"/>
      <c r="K25" s="242"/>
      <c r="L25" s="68"/>
      <c r="M25" s="68"/>
    </row>
    <row r="26" spans="1:16" ht="11.25" customHeight="1">
      <c r="A26" s="362"/>
      <c r="B26" s="353"/>
      <c r="C26" s="353"/>
      <c r="D26" s="353"/>
      <c r="E26" s="352"/>
      <c r="F26" s="353"/>
      <c r="G26" s="352"/>
      <c r="H26" s="353"/>
      <c r="I26" s="372"/>
      <c r="J26" s="372"/>
      <c r="K26" s="355"/>
      <c r="L26" s="68"/>
      <c r="M26" s="68"/>
    </row>
    <row r="27" spans="1:16" ht="7.5" customHeight="1">
      <c r="A27" s="299"/>
      <c r="B27" s="242"/>
      <c r="C27" s="242"/>
      <c r="D27" s="242"/>
      <c r="E27" s="365"/>
      <c r="F27" s="242"/>
      <c r="G27" s="245"/>
      <c r="H27" s="242"/>
      <c r="I27" s="366"/>
      <c r="J27" s="366"/>
      <c r="K27" s="242"/>
      <c r="L27" s="68"/>
      <c r="M27" s="68"/>
    </row>
    <row r="28" spans="1:16" ht="15" customHeight="1">
      <c r="A28" s="299" t="s">
        <v>123</v>
      </c>
      <c r="B28" s="242" t="s">
        <v>295</v>
      </c>
      <c r="C28" s="242"/>
      <c r="D28" s="242"/>
      <c r="E28" s="367">
        <v>0.25</v>
      </c>
      <c r="F28" s="242" t="s">
        <v>17</v>
      </c>
      <c r="G28" s="244"/>
      <c r="H28" s="242"/>
      <c r="I28" s="244"/>
      <c r="J28" s="244"/>
      <c r="K28" s="242"/>
      <c r="L28" s="68"/>
      <c r="M28" s="68"/>
    </row>
    <row r="29" spans="1:16" ht="8.25" customHeight="1">
      <c r="A29" s="299"/>
      <c r="B29" s="242"/>
      <c r="C29" s="242"/>
      <c r="D29" s="242"/>
      <c r="E29" s="244"/>
      <c r="F29" s="242"/>
      <c r="G29" s="244"/>
      <c r="H29" s="242"/>
      <c r="I29" s="244"/>
      <c r="J29" s="244"/>
      <c r="K29" s="242"/>
      <c r="L29" s="68"/>
      <c r="M29" s="68"/>
    </row>
    <row r="30" spans="1:16" ht="11.25" customHeight="1">
      <c r="A30" s="362"/>
      <c r="B30" s="353"/>
      <c r="C30" s="353"/>
      <c r="D30" s="353"/>
      <c r="E30" s="353"/>
      <c r="F30" s="353"/>
      <c r="G30" s="353"/>
      <c r="H30" s="353"/>
      <c r="I30" s="353"/>
      <c r="J30" s="353"/>
      <c r="K30" s="355"/>
      <c r="L30" s="68"/>
      <c r="M30" s="68"/>
    </row>
    <row r="31" spans="1:16" ht="8.25" customHeight="1">
      <c r="A31" s="299"/>
      <c r="B31" s="242"/>
      <c r="C31" s="242"/>
      <c r="D31" s="242"/>
      <c r="E31" s="244"/>
      <c r="F31" s="242"/>
      <c r="G31" s="244"/>
      <c r="H31" s="242"/>
      <c r="I31" s="244"/>
      <c r="J31" s="244"/>
      <c r="K31" s="242"/>
      <c r="L31" s="68"/>
      <c r="M31" s="68"/>
    </row>
    <row r="32" spans="1:16" ht="14.25" customHeight="1">
      <c r="A32" s="299" t="s">
        <v>214</v>
      </c>
      <c r="B32" s="242" t="s">
        <v>294</v>
      </c>
      <c r="C32" s="242"/>
      <c r="D32" s="242"/>
      <c r="E32" s="242"/>
      <c r="F32" s="242"/>
      <c r="G32" s="242"/>
      <c r="H32" s="242"/>
      <c r="I32" s="242"/>
      <c r="J32" s="242"/>
      <c r="K32" s="242"/>
      <c r="L32" s="68"/>
      <c r="M32" s="68"/>
    </row>
    <row r="33" spans="1:17" s="13" customFormat="1" ht="14.25" customHeight="1">
      <c r="A33" s="368"/>
      <c r="B33" s="253" t="s">
        <v>293</v>
      </c>
      <c r="C33" s="253"/>
      <c r="D33" s="253"/>
      <c r="E33" s="253"/>
      <c r="F33" s="253"/>
      <c r="G33" s="253"/>
      <c r="H33" s="253"/>
      <c r="I33" s="253"/>
      <c r="J33" s="253"/>
      <c r="K33" s="253"/>
      <c r="L33" s="113"/>
      <c r="M33" s="68"/>
      <c r="N33" s="15"/>
      <c r="O33" s="15"/>
      <c r="P33" s="15"/>
      <c r="Q33" s="15"/>
    </row>
    <row r="34" spans="1:17" s="13" customFormat="1" ht="15" customHeight="1">
      <c r="A34" s="368"/>
      <c r="B34" s="253" t="s">
        <v>292</v>
      </c>
      <c r="C34" s="253"/>
      <c r="D34" s="253"/>
      <c r="E34" s="253"/>
      <c r="F34" s="253"/>
      <c r="G34" s="253"/>
      <c r="H34" s="253"/>
      <c r="I34" s="253"/>
      <c r="J34" s="253"/>
      <c r="K34" s="253"/>
      <c r="L34" s="113"/>
      <c r="M34" s="68"/>
      <c r="N34" s="15"/>
      <c r="O34" s="15"/>
      <c r="P34" s="15"/>
      <c r="Q34" s="15"/>
    </row>
    <row r="35" spans="1:17" s="13" customFormat="1" ht="12" customHeight="1" thickBot="1">
      <c r="A35" s="368"/>
      <c r="B35" s="253"/>
      <c r="C35" s="253"/>
      <c r="D35" s="253"/>
      <c r="E35" s="253"/>
      <c r="F35" s="253"/>
      <c r="G35" s="253"/>
      <c r="H35" s="253"/>
      <c r="I35" s="253"/>
      <c r="J35" s="253"/>
      <c r="K35" s="253"/>
      <c r="L35" s="113"/>
      <c r="M35" s="68"/>
      <c r="N35" s="15"/>
      <c r="O35" s="15"/>
      <c r="P35" s="15"/>
      <c r="Q35" s="15"/>
    </row>
    <row r="36" spans="1:17" ht="16.5" thickBot="1">
      <c r="A36" s="299"/>
      <c r="B36" s="246">
        <f>I24</f>
        <v>12</v>
      </c>
      <c r="C36" s="249" t="s">
        <v>291</v>
      </c>
      <c r="D36" s="242"/>
      <c r="E36" s="369">
        <f>IF(F5=0,0,B36+1)</f>
        <v>13</v>
      </c>
      <c r="F36" s="242" t="s">
        <v>290</v>
      </c>
      <c r="G36" s="242"/>
      <c r="H36" s="242"/>
      <c r="I36" s="242"/>
      <c r="J36" s="242"/>
      <c r="K36" s="242"/>
      <c r="L36" s="68"/>
      <c r="M36" s="68"/>
    </row>
    <row r="37" spans="1:17" ht="8.25" customHeight="1">
      <c r="A37" s="299"/>
      <c r="B37" s="366"/>
      <c r="C37" s="249"/>
      <c r="D37" s="242"/>
      <c r="E37" s="366"/>
      <c r="F37" s="242"/>
      <c r="G37" s="242"/>
      <c r="H37" s="242"/>
      <c r="I37" s="242"/>
      <c r="J37" s="242"/>
      <c r="K37" s="242"/>
      <c r="L37" s="68"/>
      <c r="M37" s="68"/>
    </row>
    <row r="38" spans="1:17" ht="11.25" customHeight="1">
      <c r="A38" s="362"/>
      <c r="B38" s="372"/>
      <c r="C38" s="373"/>
      <c r="D38" s="353"/>
      <c r="E38" s="372"/>
      <c r="F38" s="353"/>
      <c r="G38" s="353"/>
      <c r="H38" s="353"/>
      <c r="I38" s="353"/>
      <c r="J38" s="353"/>
      <c r="K38" s="355"/>
      <c r="L38" s="68"/>
      <c r="M38" s="68"/>
    </row>
    <row r="39" spans="1:17" ht="8.25" customHeight="1">
      <c r="A39" s="299"/>
      <c r="B39" s="366"/>
      <c r="C39" s="249"/>
      <c r="D39" s="242"/>
      <c r="E39" s="366"/>
      <c r="F39" s="242"/>
      <c r="G39" s="242"/>
      <c r="H39" s="242"/>
      <c r="I39" s="242"/>
      <c r="J39" s="242"/>
      <c r="K39" s="242"/>
      <c r="L39" s="68"/>
      <c r="M39" s="68"/>
    </row>
    <row r="40" spans="1:17" ht="15.75">
      <c r="A40" s="299" t="s">
        <v>16</v>
      </c>
      <c r="B40" s="242" t="s">
        <v>289</v>
      </c>
      <c r="C40" s="242"/>
      <c r="D40" s="242"/>
      <c r="E40" s="242"/>
      <c r="F40" s="242"/>
      <c r="G40" s="242"/>
      <c r="H40" s="242"/>
      <c r="I40" s="242"/>
      <c r="J40" s="242"/>
      <c r="K40" s="242"/>
      <c r="L40" s="67"/>
      <c r="M40" s="68"/>
    </row>
    <row r="41" spans="1:17" ht="7.5" customHeight="1" thickBot="1">
      <c r="A41" s="299"/>
      <c r="B41" s="242"/>
      <c r="C41" s="242"/>
      <c r="D41" s="242"/>
      <c r="E41" s="242"/>
      <c r="F41" s="242"/>
      <c r="G41" s="242"/>
      <c r="H41" s="242"/>
      <c r="I41" s="242"/>
      <c r="J41" s="242"/>
      <c r="K41" s="242"/>
      <c r="L41" s="67"/>
      <c r="M41" s="68"/>
    </row>
    <row r="42" spans="1:17" ht="16.5" thickBot="1">
      <c r="A42" s="299"/>
      <c r="B42" s="246">
        <f>E36</f>
        <v>13</v>
      </c>
      <c r="C42" s="242" t="s">
        <v>288</v>
      </c>
      <c r="D42" s="306">
        <f>F5</f>
        <v>4</v>
      </c>
      <c r="E42" s="242" t="s">
        <v>287</v>
      </c>
      <c r="F42" s="313">
        <f>ROUNDUP(B42,0)*ROUNDUP(D42,0)</f>
        <v>52</v>
      </c>
      <c r="G42" s="242" t="s">
        <v>286</v>
      </c>
      <c r="H42" s="242"/>
      <c r="I42" s="242"/>
      <c r="J42" s="242"/>
      <c r="K42" s="244"/>
      <c r="L42" s="67"/>
      <c r="M42" s="68"/>
    </row>
    <row r="43" spans="1:17" ht="12" customHeight="1">
      <c r="A43" s="299"/>
      <c r="B43" s="264"/>
      <c r="C43" s="264"/>
      <c r="D43" s="264"/>
      <c r="E43" s="264"/>
      <c r="F43" s="264"/>
      <c r="G43" s="242"/>
      <c r="H43" s="264"/>
      <c r="I43" s="264"/>
      <c r="J43" s="264"/>
      <c r="K43" s="264"/>
      <c r="M43" s="68"/>
    </row>
    <row r="44" spans="1:17" ht="15" customHeight="1">
      <c r="A44" s="299"/>
      <c r="B44" s="242" t="s">
        <v>285</v>
      </c>
      <c r="C44" s="242"/>
      <c r="D44" s="242"/>
      <c r="E44" s="242"/>
      <c r="F44" s="242"/>
      <c r="G44" s="242"/>
      <c r="H44" s="242"/>
      <c r="I44" s="264"/>
      <c r="J44" s="264"/>
      <c r="K44" s="264"/>
      <c r="M44" s="68"/>
    </row>
    <row r="45" spans="1:17" ht="16.5" customHeight="1">
      <c r="A45" s="299"/>
      <c r="B45" s="253" t="s">
        <v>525</v>
      </c>
      <c r="C45" s="242"/>
      <c r="D45" s="242"/>
      <c r="E45" s="242"/>
      <c r="F45" s="242"/>
      <c r="G45" s="242"/>
      <c r="H45" s="242"/>
      <c r="I45" s="264"/>
      <c r="J45" s="264"/>
      <c r="K45" s="264"/>
      <c r="M45" s="68"/>
    </row>
    <row r="46" spans="1:17" ht="6.75" customHeight="1">
      <c r="A46" s="299"/>
      <c r="B46" s="253"/>
      <c r="C46" s="242"/>
      <c r="D46" s="242"/>
      <c r="E46" s="242"/>
      <c r="F46" s="242"/>
      <c r="G46" s="242"/>
      <c r="H46" s="242"/>
      <c r="I46" s="264"/>
      <c r="J46" s="264"/>
      <c r="K46" s="264"/>
      <c r="M46" s="68"/>
    </row>
    <row r="47" spans="1:17" ht="14.25" customHeight="1">
      <c r="A47" s="299"/>
      <c r="B47" s="242" t="s">
        <v>284</v>
      </c>
      <c r="C47" s="242"/>
      <c r="D47" s="242"/>
      <c r="E47" s="242"/>
      <c r="F47" s="242"/>
      <c r="G47" s="242"/>
      <c r="H47" s="242"/>
      <c r="I47" s="264"/>
      <c r="J47" s="264"/>
      <c r="K47" s="264"/>
      <c r="M47" s="68"/>
    </row>
    <row r="48" spans="1:17" ht="9" customHeight="1" thickBot="1">
      <c r="A48" s="299"/>
      <c r="B48" s="242"/>
      <c r="C48" s="242"/>
      <c r="D48" s="242"/>
      <c r="E48" s="242"/>
      <c r="F48" s="242"/>
      <c r="G48" s="242"/>
      <c r="H48" s="242"/>
      <c r="I48" s="264"/>
      <c r="J48" s="264"/>
      <c r="K48" s="264"/>
      <c r="M48" s="68"/>
    </row>
    <row r="49" spans="1:23" ht="19.5" thickBot="1">
      <c r="A49" s="299"/>
      <c r="B49" s="306">
        <f>IF(ISBLANK('Mound&gt;1%'!G38),"",'Mound&gt;1%'!G38)</f>
        <v>10</v>
      </c>
      <c r="C49" s="242" t="s">
        <v>283</v>
      </c>
      <c r="D49" s="306">
        <f>C17</f>
        <v>38</v>
      </c>
      <c r="E49" s="242" t="s">
        <v>79</v>
      </c>
      <c r="F49" s="313">
        <f>B49*D49</f>
        <v>380</v>
      </c>
      <c r="G49" s="242" t="s">
        <v>595</v>
      </c>
      <c r="H49" s="298"/>
      <c r="I49" s="264"/>
      <c r="J49" s="264"/>
      <c r="K49" s="264"/>
      <c r="M49" s="68"/>
    </row>
    <row r="50" spans="1:23" ht="7.5" customHeight="1">
      <c r="A50" s="299"/>
      <c r="B50" s="245"/>
      <c r="C50" s="242"/>
      <c r="D50" s="245"/>
      <c r="E50" s="242"/>
      <c r="F50" s="366"/>
      <c r="G50" s="242"/>
      <c r="H50" s="242"/>
      <c r="I50" s="264"/>
      <c r="J50" s="264"/>
      <c r="K50" s="264"/>
      <c r="M50" s="68"/>
    </row>
    <row r="51" spans="1:23" ht="16.5" customHeight="1">
      <c r="A51" s="299"/>
      <c r="B51" s="244" t="s">
        <v>282</v>
      </c>
      <c r="C51" s="242"/>
      <c r="D51" s="244"/>
      <c r="E51" s="242"/>
      <c r="F51" s="244"/>
      <c r="G51" s="242"/>
      <c r="H51" s="242"/>
      <c r="I51" s="264"/>
      <c r="J51" s="264"/>
      <c r="K51" s="264"/>
      <c r="M51" s="68"/>
    </row>
    <row r="52" spans="1:23" ht="12" customHeight="1" thickBot="1">
      <c r="A52" s="299"/>
      <c r="B52" s="244"/>
      <c r="C52" s="242"/>
      <c r="D52" s="244"/>
      <c r="E52" s="242"/>
      <c r="F52" s="244"/>
      <c r="G52" s="242"/>
      <c r="H52" s="242"/>
      <c r="I52" s="264"/>
      <c r="J52" s="264"/>
      <c r="K52" s="264"/>
    </row>
    <row r="53" spans="1:23" ht="19.5" thickBot="1">
      <c r="A53" s="299"/>
      <c r="B53" s="309">
        <f>F49</f>
        <v>380</v>
      </c>
      <c r="C53" s="242" t="s">
        <v>627</v>
      </c>
      <c r="D53" s="246">
        <f>F42</f>
        <v>52</v>
      </c>
      <c r="E53" s="242" t="s">
        <v>281</v>
      </c>
      <c r="F53" s="315">
        <f>IF(F5=0,0,B53/D53)</f>
        <v>7.3076923076923075</v>
      </c>
      <c r="G53" s="242" t="s">
        <v>628</v>
      </c>
      <c r="H53" s="242"/>
      <c r="I53" s="264" t="s">
        <v>821</v>
      </c>
      <c r="J53" s="264"/>
      <c r="K53" s="264"/>
    </row>
    <row r="54" spans="1:23" ht="7.5" customHeight="1">
      <c r="A54" s="299"/>
      <c r="B54" s="264"/>
      <c r="C54" s="264"/>
      <c r="D54" s="264"/>
      <c r="E54" s="264"/>
      <c r="F54" s="264"/>
      <c r="G54" s="242"/>
      <c r="H54" s="264"/>
      <c r="I54" s="264"/>
      <c r="J54" s="264"/>
      <c r="K54" s="264"/>
      <c r="S54" s="13"/>
      <c r="T54" s="13"/>
      <c r="U54" s="13"/>
      <c r="V54" s="13"/>
      <c r="W54" s="13"/>
    </row>
    <row r="55" spans="1:23" ht="11.25" customHeight="1">
      <c r="A55" s="362"/>
      <c r="B55" s="353"/>
      <c r="C55" s="353"/>
      <c r="D55" s="353"/>
      <c r="E55" s="353"/>
      <c r="F55" s="353"/>
      <c r="G55" s="353"/>
      <c r="H55" s="353"/>
      <c r="I55" s="353"/>
      <c r="J55" s="353"/>
      <c r="K55" s="355"/>
      <c r="L55" s="68"/>
      <c r="S55" s="13"/>
      <c r="T55" s="13"/>
      <c r="U55" s="13"/>
      <c r="V55" s="13"/>
      <c r="W55" s="13"/>
    </row>
    <row r="56" spans="1:23" ht="8.25" customHeight="1">
      <c r="A56" s="271"/>
      <c r="B56" s="264"/>
      <c r="C56" s="264"/>
      <c r="D56" s="264"/>
      <c r="E56" s="264"/>
      <c r="F56" s="264"/>
      <c r="G56" s="264"/>
      <c r="H56" s="264"/>
      <c r="I56" s="264"/>
      <c r="J56" s="264"/>
      <c r="K56" s="264"/>
      <c r="Q56" s="13"/>
      <c r="R56" s="13"/>
      <c r="S56" s="13"/>
      <c r="T56" s="13"/>
      <c r="U56" s="13"/>
      <c r="V56" s="13"/>
      <c r="W56" s="13"/>
    </row>
    <row r="57" spans="1:23" ht="12" customHeight="1">
      <c r="A57" s="299" t="s">
        <v>13</v>
      </c>
      <c r="B57" s="242" t="s">
        <v>280</v>
      </c>
      <c r="C57" s="242"/>
      <c r="D57" s="242"/>
      <c r="E57" s="242"/>
      <c r="F57" s="242"/>
      <c r="G57" s="242"/>
      <c r="H57" s="242"/>
      <c r="I57" s="242"/>
      <c r="J57" s="242"/>
      <c r="K57" s="264"/>
    </row>
    <row r="58" spans="1:23" ht="16.5" customHeight="1">
      <c r="A58" s="299"/>
      <c r="B58" s="242" t="s">
        <v>279</v>
      </c>
      <c r="C58" s="242"/>
      <c r="D58" s="242"/>
      <c r="E58" s="242"/>
      <c r="F58" s="242"/>
      <c r="G58" s="242"/>
      <c r="H58" s="242"/>
      <c r="I58" s="242"/>
      <c r="J58" s="242"/>
      <c r="K58" s="242"/>
      <c r="L58" s="68"/>
    </row>
    <row r="59" spans="1:23" ht="17.25" customHeight="1" thickBot="1">
      <c r="A59" s="299"/>
      <c r="B59" s="242"/>
      <c r="C59" s="242"/>
      <c r="D59" s="242"/>
      <c r="E59" s="242"/>
      <c r="F59" s="242"/>
      <c r="G59" s="242"/>
      <c r="H59" s="242"/>
      <c r="I59" s="242"/>
      <c r="J59" s="242"/>
      <c r="K59" s="242"/>
      <c r="L59" s="68"/>
    </row>
    <row r="60" spans="1:23" ht="17.25" customHeight="1" thickBot="1">
      <c r="A60" s="299"/>
      <c r="B60" s="242"/>
      <c r="C60" s="306">
        <f>F42</f>
        <v>52</v>
      </c>
      <c r="D60" s="242" t="s">
        <v>278</v>
      </c>
      <c r="E60" s="247">
        <v>0.74</v>
      </c>
      <c r="F60" s="242" t="s">
        <v>277</v>
      </c>
      <c r="G60" s="242"/>
      <c r="H60" s="315">
        <f>C60*E60</f>
        <v>38.479999999999997</v>
      </c>
      <c r="I60" s="242" t="s">
        <v>183</v>
      </c>
      <c r="J60" s="242"/>
      <c r="K60" s="242"/>
      <c r="L60" s="68"/>
    </row>
    <row r="61" spans="1:23" ht="8.25" customHeight="1">
      <c r="A61" s="299"/>
      <c r="B61" s="264"/>
      <c r="C61" s="264"/>
      <c r="D61" s="264"/>
      <c r="E61" s="264"/>
      <c r="F61" s="264"/>
      <c r="G61" s="264"/>
      <c r="H61" s="264"/>
      <c r="I61" s="242"/>
      <c r="J61" s="242"/>
      <c r="K61" s="242"/>
      <c r="L61" s="68"/>
    </row>
    <row r="62" spans="1:23" ht="11.25" customHeight="1">
      <c r="A62" s="362"/>
      <c r="B62" s="293"/>
      <c r="C62" s="293"/>
      <c r="D62" s="293"/>
      <c r="E62" s="293"/>
      <c r="F62" s="293"/>
      <c r="G62" s="293"/>
      <c r="H62" s="293"/>
      <c r="I62" s="353"/>
      <c r="J62" s="353"/>
      <c r="K62" s="355"/>
      <c r="L62" s="68"/>
    </row>
    <row r="63" spans="1:23" ht="8.25" customHeight="1">
      <c r="A63" s="299"/>
      <c r="B63" s="264"/>
      <c r="C63" s="264"/>
      <c r="D63" s="264"/>
      <c r="E63" s="264"/>
      <c r="F63" s="264"/>
      <c r="G63" s="264"/>
      <c r="H63" s="264"/>
      <c r="I63" s="242"/>
      <c r="J63" s="242"/>
      <c r="K63" s="242"/>
      <c r="L63" s="68"/>
    </row>
    <row r="64" spans="1:23" ht="15.75">
      <c r="A64" s="299" t="s">
        <v>187</v>
      </c>
      <c r="B64" s="242" t="s">
        <v>276</v>
      </c>
      <c r="C64" s="244"/>
      <c r="D64" s="242"/>
      <c r="E64" s="244"/>
      <c r="F64" s="242"/>
      <c r="G64" s="242"/>
      <c r="H64" s="244"/>
      <c r="I64" s="242"/>
      <c r="J64" s="242"/>
      <c r="K64" s="242"/>
      <c r="L64" s="68"/>
    </row>
    <row r="65" spans="1:16" ht="15.75">
      <c r="A65" s="299" t="s">
        <v>139</v>
      </c>
      <c r="B65" s="298" t="s">
        <v>629</v>
      </c>
      <c r="C65" s="242"/>
      <c r="D65" s="242"/>
      <c r="E65" s="242"/>
      <c r="F65" s="242"/>
      <c r="G65" s="242"/>
      <c r="H65" s="242"/>
      <c r="I65" s="242"/>
      <c r="J65" s="242"/>
      <c r="K65" s="242"/>
      <c r="L65" s="68"/>
    </row>
    <row r="66" spans="1:16" ht="15.75">
      <c r="A66" s="299"/>
      <c r="B66" s="242" t="s">
        <v>275</v>
      </c>
      <c r="C66" s="242"/>
      <c r="D66" s="242"/>
      <c r="E66" s="242"/>
      <c r="F66" s="242"/>
      <c r="G66" s="242"/>
      <c r="H66" s="242"/>
      <c r="I66" s="242"/>
      <c r="J66" s="242"/>
      <c r="K66" s="242"/>
      <c r="L66" s="68"/>
    </row>
    <row r="67" spans="1:16" ht="15.75">
      <c r="A67" s="299"/>
      <c r="B67" s="242" t="s">
        <v>274</v>
      </c>
      <c r="C67" s="242"/>
      <c r="D67" s="242"/>
      <c r="E67" s="242"/>
      <c r="F67" s="242"/>
      <c r="G67" s="242"/>
      <c r="H67" s="242"/>
      <c r="I67" s="242"/>
      <c r="J67" s="242"/>
      <c r="K67" s="242"/>
      <c r="L67" s="68"/>
    </row>
    <row r="68" spans="1:16" ht="15.75">
      <c r="A68" s="299"/>
      <c r="B68" s="242" t="s">
        <v>273</v>
      </c>
      <c r="C68" s="242"/>
      <c r="D68" s="242"/>
      <c r="E68" s="242"/>
      <c r="F68" s="242"/>
      <c r="G68" s="242"/>
      <c r="H68" s="242"/>
      <c r="I68" s="242"/>
      <c r="J68" s="242"/>
      <c r="K68" s="242"/>
      <c r="L68" s="68"/>
    </row>
    <row r="69" spans="1:16" ht="15.75">
      <c r="A69" s="299"/>
      <c r="B69" s="242" t="s">
        <v>272</v>
      </c>
      <c r="C69" s="242"/>
      <c r="D69" s="242"/>
      <c r="E69" s="370">
        <v>2</v>
      </c>
      <c r="F69" s="242" t="s">
        <v>29</v>
      </c>
      <c r="G69" s="242"/>
      <c r="H69" s="242"/>
      <c r="I69" s="242"/>
      <c r="J69" s="242"/>
      <c r="K69" s="242"/>
      <c r="L69" s="68"/>
      <c r="M69" s="68"/>
      <c r="N69" s="68"/>
      <c r="O69" s="68"/>
      <c r="P69" s="68"/>
    </row>
    <row r="70" spans="1:16" ht="12" customHeight="1">
      <c r="A70" s="299"/>
      <c r="B70" s="242"/>
      <c r="C70" s="242"/>
      <c r="D70" s="242"/>
      <c r="E70" s="242"/>
      <c r="F70" s="242"/>
      <c r="G70" s="242"/>
      <c r="H70" s="242"/>
      <c r="I70" s="242"/>
      <c r="J70" s="242"/>
      <c r="K70" s="242"/>
      <c r="L70" s="68"/>
      <c r="M70" s="68"/>
      <c r="N70" s="68"/>
      <c r="O70" s="68"/>
      <c r="P70" s="68"/>
    </row>
    <row r="71" spans="1:16" ht="15.75">
      <c r="A71" s="299" t="s">
        <v>133</v>
      </c>
      <c r="B71" s="298" t="s">
        <v>630</v>
      </c>
      <c r="C71" s="242"/>
      <c r="D71" s="242"/>
      <c r="E71" s="242"/>
      <c r="F71" s="242"/>
      <c r="G71" s="242"/>
      <c r="H71" s="242"/>
      <c r="I71" s="242"/>
      <c r="J71" s="242"/>
      <c r="K71" s="242"/>
      <c r="L71" s="68"/>
      <c r="M71" s="68"/>
      <c r="N71" s="68"/>
      <c r="O71" s="68"/>
      <c r="P71" s="68"/>
    </row>
    <row r="72" spans="1:16" ht="15.75">
      <c r="A72" s="299"/>
      <c r="B72" s="242" t="s">
        <v>271</v>
      </c>
      <c r="C72" s="242"/>
      <c r="D72" s="242"/>
      <c r="E72" s="242"/>
      <c r="F72" s="242"/>
      <c r="G72" s="242"/>
      <c r="H72" s="242"/>
      <c r="I72" s="826" t="s">
        <v>814</v>
      </c>
      <c r="J72" s="827"/>
      <c r="K72" s="642">
        <f>IF(ISBLANK(E36),"",E36)</f>
        <v>13</v>
      </c>
      <c r="L72" s="68"/>
      <c r="M72" s="68"/>
      <c r="N72" s="68"/>
      <c r="O72" s="68"/>
      <c r="P72" s="68"/>
    </row>
    <row r="73" spans="1:16" ht="15.75">
      <c r="A73" s="299"/>
      <c r="B73" s="242" t="s">
        <v>270</v>
      </c>
      <c r="C73" s="242"/>
      <c r="D73" s="242"/>
      <c r="E73" s="242"/>
      <c r="F73" s="242"/>
      <c r="G73" s="242"/>
      <c r="H73" s="242"/>
      <c r="I73" s="826" t="s">
        <v>813</v>
      </c>
      <c r="J73" s="827"/>
      <c r="K73" s="613">
        <f>IF(ISBLANK(E9),"",E9)</f>
        <v>3</v>
      </c>
      <c r="L73" s="68" t="s">
        <v>26</v>
      </c>
      <c r="M73" s="68"/>
      <c r="N73" s="68"/>
      <c r="O73" s="68"/>
      <c r="P73" s="68"/>
    </row>
    <row r="74" spans="1:16" ht="15.75">
      <c r="A74" s="299"/>
      <c r="B74" s="242" t="s">
        <v>269</v>
      </c>
      <c r="C74" s="242"/>
      <c r="D74" s="242"/>
      <c r="E74" s="242"/>
      <c r="F74" s="242"/>
      <c r="G74" s="242"/>
      <c r="H74" s="242"/>
      <c r="I74" s="826" t="s">
        <v>812</v>
      </c>
      <c r="J74" s="827"/>
      <c r="K74" s="614">
        <f>IF(ISBLANK(E28),"",E28)</f>
        <v>0.25</v>
      </c>
      <c r="L74" s="68" t="s">
        <v>17</v>
      </c>
      <c r="M74" s="68"/>
      <c r="N74" s="68"/>
      <c r="O74" s="68"/>
      <c r="P74" s="68"/>
    </row>
    <row r="75" spans="1:16" ht="15.75">
      <c r="A75" s="299"/>
      <c r="B75" s="242" t="s">
        <v>268</v>
      </c>
      <c r="C75" s="242"/>
      <c r="D75" s="242"/>
      <c r="E75" s="242"/>
      <c r="F75" s="370"/>
      <c r="G75" s="242" t="s">
        <v>29</v>
      </c>
      <c r="H75" s="242"/>
      <c r="I75" s="242"/>
      <c r="J75" s="242"/>
      <c r="K75" s="242"/>
      <c r="L75" s="68"/>
      <c r="M75" s="68"/>
      <c r="N75" s="68"/>
      <c r="O75" s="68"/>
      <c r="P75" s="68"/>
    </row>
    <row r="76" spans="1:16" ht="12" customHeight="1">
      <c r="A76" s="299"/>
      <c r="B76" s="242"/>
      <c r="C76" s="242"/>
      <c r="D76" s="242"/>
      <c r="E76" s="242"/>
      <c r="F76" s="242"/>
      <c r="G76" s="244"/>
      <c r="H76" s="242"/>
      <c r="I76" s="242"/>
      <c r="J76" s="242"/>
      <c r="K76" s="242"/>
      <c r="L76" s="68"/>
      <c r="M76" s="68"/>
      <c r="N76" s="68"/>
      <c r="O76" s="68"/>
      <c r="P76" s="68"/>
    </row>
    <row r="77" spans="1:16" ht="12" customHeight="1">
      <c r="A77" s="264"/>
      <c r="B77" s="264"/>
      <c r="C77" s="264"/>
      <c r="D77" s="264"/>
      <c r="E77" s="264"/>
      <c r="F77" s="264"/>
      <c r="G77" s="264"/>
      <c r="I77" s="264"/>
      <c r="J77" s="264"/>
      <c r="K77" s="242"/>
      <c r="L77" s="68"/>
      <c r="M77" s="68"/>
      <c r="N77" s="68"/>
      <c r="O77" s="68"/>
      <c r="P77" s="68"/>
    </row>
    <row r="78" spans="1:16" ht="18" customHeight="1">
      <c r="A78" s="264"/>
      <c r="B78" s="264"/>
      <c r="C78" s="264"/>
      <c r="D78" s="264"/>
      <c r="E78" s="264"/>
      <c r="F78" s="264"/>
      <c r="G78" s="264"/>
      <c r="I78" s="264"/>
      <c r="J78" s="264"/>
      <c r="K78" s="242"/>
      <c r="L78" s="68"/>
      <c r="M78" s="68"/>
      <c r="N78" s="68"/>
      <c r="O78" s="68"/>
      <c r="P78" s="68"/>
    </row>
    <row r="79" spans="1:16" ht="12" customHeight="1">
      <c r="A79" s="264"/>
      <c r="B79" s="264"/>
      <c r="C79" s="264"/>
      <c r="D79" s="264"/>
      <c r="E79" s="264"/>
      <c r="F79" s="264"/>
      <c r="G79" s="264"/>
      <c r="I79" s="264"/>
      <c r="J79" s="264"/>
      <c r="K79" s="242"/>
      <c r="L79" s="68"/>
      <c r="M79" s="68"/>
      <c r="N79" s="68"/>
      <c r="O79" s="68"/>
      <c r="P79" s="68"/>
    </row>
    <row r="80" spans="1:16" ht="12.75" customHeight="1">
      <c r="A80" s="271"/>
      <c r="I80" s="264"/>
      <c r="J80" s="264"/>
      <c r="K80" s="242"/>
      <c r="L80" s="68"/>
      <c r="M80" s="68"/>
      <c r="N80" s="68"/>
      <c r="O80" s="68"/>
      <c r="P80" s="68"/>
    </row>
    <row r="81" spans="1:16" ht="12.75" customHeight="1">
      <c r="A81" s="264"/>
      <c r="B81" s="264"/>
      <c r="C81" s="264"/>
      <c r="D81" s="264"/>
      <c r="E81" s="264"/>
      <c r="F81" s="264"/>
      <c r="G81" s="264"/>
      <c r="I81" s="264"/>
      <c r="J81" s="264"/>
      <c r="K81" s="242"/>
      <c r="L81" s="68"/>
      <c r="M81" s="68"/>
      <c r="N81" s="68"/>
      <c r="O81" s="68"/>
      <c r="P81" s="68"/>
    </row>
    <row r="82" spans="1:16" ht="12" customHeight="1">
      <c r="A82" s="264"/>
      <c r="B82" s="264"/>
      <c r="C82" s="264"/>
      <c r="D82" s="264"/>
      <c r="E82" s="264"/>
      <c r="F82" s="264"/>
      <c r="G82" s="264"/>
      <c r="I82" s="264"/>
      <c r="J82" s="264"/>
      <c r="K82" s="242"/>
      <c r="L82" s="68"/>
      <c r="M82" s="68"/>
      <c r="N82" s="68"/>
      <c r="O82" s="68"/>
      <c r="P82" s="68"/>
    </row>
    <row r="83" spans="1:16" ht="10.5" customHeight="1">
      <c r="A83" s="264"/>
      <c r="B83" s="264"/>
      <c r="C83" s="264"/>
      <c r="D83" s="264"/>
      <c r="E83" s="264"/>
      <c r="F83" s="264"/>
      <c r="G83" s="264"/>
      <c r="I83" s="264"/>
      <c r="J83" s="264"/>
      <c r="K83" s="242"/>
      <c r="L83" s="68"/>
      <c r="M83" s="68"/>
      <c r="N83" s="68"/>
      <c r="O83" s="68"/>
      <c r="P83" s="68"/>
    </row>
    <row r="84" spans="1:16" ht="12" customHeight="1">
      <c r="A84" s="271"/>
      <c r="I84" s="264"/>
      <c r="J84" s="264"/>
      <c r="K84" s="242"/>
      <c r="L84" s="68"/>
      <c r="M84" s="68"/>
      <c r="N84" s="68"/>
      <c r="O84" s="68"/>
      <c r="P84" s="68"/>
    </row>
    <row r="85" spans="1:16" ht="12" customHeight="1">
      <c r="A85" s="264"/>
      <c r="B85" s="264"/>
      <c r="C85" s="264"/>
      <c r="D85" s="264"/>
      <c r="E85" s="264"/>
      <c r="F85" s="264"/>
      <c r="G85" s="264"/>
      <c r="I85" s="264"/>
      <c r="J85" s="264"/>
      <c r="K85" s="242"/>
      <c r="L85" s="68"/>
      <c r="M85" s="68"/>
      <c r="N85" s="68"/>
      <c r="O85" s="68"/>
      <c r="P85" s="68"/>
    </row>
    <row r="86" spans="1:16" ht="12" customHeight="1">
      <c r="A86" s="264"/>
      <c r="B86" s="264"/>
      <c r="C86" s="264"/>
      <c r="D86" s="264"/>
      <c r="E86" s="264"/>
      <c r="F86" s="264"/>
      <c r="G86" s="264"/>
      <c r="I86" s="264"/>
      <c r="J86" s="264"/>
      <c r="K86" s="242"/>
      <c r="L86" s="68"/>
      <c r="M86" s="68"/>
      <c r="N86" s="68"/>
      <c r="O86" s="68"/>
      <c r="P86" s="68"/>
    </row>
    <row r="87" spans="1:16" ht="12" customHeight="1">
      <c r="A87" s="264"/>
      <c r="B87" s="264"/>
      <c r="C87" s="264"/>
      <c r="D87" s="264"/>
      <c r="E87" s="264"/>
      <c r="F87" s="264"/>
      <c r="G87" s="264"/>
      <c r="I87" s="264"/>
      <c r="J87" s="264"/>
      <c r="K87" s="242"/>
      <c r="L87" s="68"/>
      <c r="M87" s="68"/>
      <c r="N87" s="68"/>
      <c r="O87" s="68"/>
      <c r="P87" s="68"/>
    </row>
    <row r="88" spans="1:16" ht="12" customHeight="1">
      <c r="A88" s="264"/>
      <c r="B88" s="264"/>
      <c r="C88" s="264"/>
      <c r="D88" s="264"/>
      <c r="E88" s="264"/>
      <c r="F88" s="264"/>
      <c r="G88" s="264"/>
      <c r="H88" s="264"/>
      <c r="I88" s="264"/>
      <c r="J88" s="264"/>
      <c r="K88" s="242"/>
      <c r="L88" s="68"/>
      <c r="M88" s="68"/>
      <c r="N88" s="68"/>
      <c r="O88" s="68"/>
      <c r="P88" s="68"/>
    </row>
    <row r="89" spans="1:16" ht="12" customHeight="1">
      <c r="A89" s="271"/>
      <c r="B89" s="264"/>
      <c r="C89" s="264"/>
      <c r="D89" s="264"/>
      <c r="E89" s="264"/>
      <c r="F89" s="264"/>
      <c r="G89" s="264"/>
      <c r="H89" s="264"/>
      <c r="I89" s="264"/>
      <c r="J89" s="264"/>
      <c r="K89" s="242"/>
      <c r="L89" s="68"/>
      <c r="M89" s="68"/>
      <c r="N89" s="68"/>
      <c r="O89" s="68"/>
      <c r="P89" s="68"/>
    </row>
    <row r="90" spans="1:16" ht="12" customHeight="1">
      <c r="A90" s="271"/>
      <c r="B90" s="264"/>
      <c r="C90" s="264"/>
      <c r="D90" s="264"/>
      <c r="E90" s="264"/>
      <c r="F90" s="264"/>
      <c r="G90" s="264"/>
      <c r="H90" s="264"/>
      <c r="I90" s="264"/>
      <c r="J90" s="264"/>
      <c r="K90" s="242"/>
      <c r="L90" s="68"/>
      <c r="M90" s="68"/>
      <c r="N90" s="68"/>
      <c r="O90" s="68"/>
      <c r="P90" s="68"/>
    </row>
    <row r="91" spans="1:16" ht="12" customHeight="1">
      <c r="A91" s="271"/>
      <c r="B91" s="264"/>
      <c r="C91" s="264"/>
      <c r="D91" s="264"/>
      <c r="E91" s="264"/>
      <c r="F91" s="264"/>
      <c r="G91" s="264"/>
      <c r="H91" s="264"/>
      <c r="I91" s="264"/>
      <c r="J91" s="264"/>
      <c r="K91" s="242"/>
      <c r="L91" s="68"/>
      <c r="M91" s="68"/>
      <c r="N91" s="68"/>
      <c r="O91" s="68"/>
      <c r="P91" s="68"/>
    </row>
    <row r="92" spans="1:16" ht="12" customHeight="1">
      <c r="A92" s="271"/>
      <c r="B92" s="264"/>
      <c r="C92" s="264"/>
      <c r="D92" s="264"/>
      <c r="E92" s="264"/>
      <c r="F92" s="264"/>
      <c r="G92" s="264"/>
      <c r="H92" s="264"/>
      <c r="I92" s="264"/>
      <c r="J92" s="264"/>
      <c r="K92" s="242"/>
      <c r="L92" s="68"/>
      <c r="M92" s="68"/>
      <c r="N92" s="68"/>
      <c r="O92" s="68"/>
      <c r="P92" s="68"/>
    </row>
    <row r="93" spans="1:16" ht="12" customHeight="1">
      <c r="A93" s="271"/>
      <c r="B93" s="264"/>
      <c r="C93" s="264"/>
      <c r="D93" s="264"/>
      <c r="E93" s="264"/>
      <c r="F93" s="264"/>
      <c r="G93" s="264"/>
      <c r="H93" s="264"/>
      <c r="I93" s="264"/>
      <c r="J93" s="264"/>
      <c r="K93" s="242"/>
      <c r="L93" s="68"/>
      <c r="M93" s="68"/>
      <c r="N93" s="68"/>
      <c r="O93" s="68"/>
      <c r="P93" s="68"/>
    </row>
    <row r="94" spans="1:16" ht="12" customHeight="1">
      <c r="A94" s="271"/>
      <c r="B94" s="264"/>
      <c r="C94" s="264"/>
      <c r="D94" s="264"/>
      <c r="E94" s="264"/>
      <c r="F94" s="264"/>
      <c r="G94" s="264"/>
      <c r="H94" s="264"/>
      <c r="I94" s="264"/>
      <c r="J94" s="264"/>
      <c r="K94" s="242"/>
      <c r="L94" s="68"/>
      <c r="M94" s="68"/>
      <c r="N94" s="68"/>
      <c r="O94" s="68"/>
      <c r="P94" s="68"/>
    </row>
    <row r="95" spans="1:16" ht="12" customHeight="1">
      <c r="A95" s="264"/>
      <c r="B95" s="264"/>
      <c r="C95" s="264"/>
      <c r="D95" s="264"/>
      <c r="E95" s="264"/>
      <c r="F95" s="264"/>
      <c r="G95" s="264"/>
      <c r="H95" s="264"/>
      <c r="I95" s="264"/>
      <c r="J95" s="264"/>
      <c r="K95" s="264"/>
      <c r="L95" s="68"/>
      <c r="M95" s="68"/>
      <c r="N95" s="67"/>
      <c r="O95" s="68"/>
      <c r="P95" s="68"/>
    </row>
    <row r="96" spans="1:16" ht="12" customHeight="1">
      <c r="A96" s="264"/>
      <c r="B96" s="264"/>
      <c r="C96" s="264"/>
      <c r="D96" s="264"/>
      <c r="E96" s="264"/>
      <c r="F96" s="264"/>
      <c r="G96" s="264"/>
      <c r="H96" s="264"/>
      <c r="I96" s="264"/>
      <c r="J96" s="264"/>
      <c r="K96" s="264"/>
      <c r="L96" s="68"/>
      <c r="M96" s="68"/>
      <c r="N96" s="67"/>
      <c r="O96" s="68"/>
      <c r="P96" s="68"/>
    </row>
    <row r="97" spans="1:16" ht="12" customHeight="1">
      <c r="A97" s="264"/>
      <c r="B97" s="264"/>
      <c r="C97" s="264"/>
      <c r="D97" s="264"/>
      <c r="E97" s="264"/>
      <c r="F97" s="264"/>
      <c r="G97" s="264"/>
      <c r="H97" s="264"/>
      <c r="I97" s="264"/>
      <c r="J97" s="264"/>
      <c r="K97" s="264"/>
      <c r="L97" s="68"/>
      <c r="M97" s="68"/>
      <c r="N97" s="67"/>
      <c r="O97" s="68"/>
      <c r="P97" s="68"/>
    </row>
    <row r="98" spans="1:16" ht="12" customHeight="1">
      <c r="A98" s="264"/>
      <c r="B98" s="264"/>
      <c r="C98" s="264"/>
      <c r="D98" s="264"/>
      <c r="E98" s="264"/>
      <c r="F98" s="264"/>
      <c r="G98" s="264"/>
      <c r="H98" s="264"/>
      <c r="I98" s="264"/>
      <c r="J98" s="264"/>
      <c r="K98" s="264"/>
      <c r="L98" s="68"/>
      <c r="M98" s="68"/>
      <c r="N98" s="67"/>
      <c r="O98" s="68"/>
      <c r="P98" s="68"/>
    </row>
    <row r="99" spans="1:16" ht="12" customHeight="1">
      <c r="A99" s="264"/>
      <c r="B99" s="264"/>
      <c r="C99" s="264"/>
      <c r="D99" s="264"/>
      <c r="E99" s="264"/>
      <c r="F99" s="264"/>
      <c r="G99" s="264"/>
      <c r="H99" s="264"/>
      <c r="I99" s="264"/>
      <c r="J99" s="264"/>
      <c r="K99" s="264"/>
      <c r="L99" s="68"/>
      <c r="M99" s="68"/>
      <c r="N99" s="67"/>
      <c r="O99" s="68"/>
      <c r="P99" s="68"/>
    </row>
    <row r="100" spans="1:16" ht="15.75">
      <c r="A100" s="299"/>
      <c r="B100" s="242"/>
      <c r="C100" s="242"/>
      <c r="D100" s="242"/>
      <c r="E100" s="242"/>
      <c r="F100" s="242"/>
      <c r="G100" s="242"/>
      <c r="H100" s="242"/>
      <c r="I100" s="242"/>
      <c r="J100" s="242"/>
      <c r="K100" s="242"/>
      <c r="L100" s="68"/>
      <c r="M100" s="68"/>
      <c r="N100" s="68"/>
      <c r="O100" s="68"/>
      <c r="P100" s="68"/>
    </row>
    <row r="101" spans="1:16" ht="15.75">
      <c r="A101" s="299"/>
      <c r="B101" s="242"/>
      <c r="C101" s="242"/>
      <c r="D101" s="242"/>
      <c r="E101" s="242"/>
      <c r="F101" s="242"/>
      <c r="G101" s="242"/>
      <c r="H101" s="242"/>
      <c r="I101" s="242"/>
      <c r="J101" s="242"/>
      <c r="K101" s="242"/>
      <c r="L101" s="68"/>
      <c r="M101" s="68"/>
      <c r="N101" s="68"/>
      <c r="O101" s="68"/>
      <c r="P101" s="68"/>
    </row>
    <row r="102" spans="1:16" ht="15.75">
      <c r="A102" s="299"/>
      <c r="B102" s="242"/>
      <c r="C102" s="242"/>
      <c r="D102" s="242"/>
      <c r="E102" s="242"/>
      <c r="F102" s="242"/>
      <c r="G102" s="242"/>
      <c r="H102" s="242"/>
      <c r="I102" s="242"/>
      <c r="J102" s="242"/>
      <c r="K102" s="242"/>
      <c r="L102" s="68"/>
      <c r="M102" s="68"/>
      <c r="N102" s="68"/>
      <c r="O102" s="68"/>
      <c r="P102" s="68"/>
    </row>
    <row r="103" spans="1:16" ht="15.75">
      <c r="A103" s="299"/>
      <c r="B103" s="242"/>
      <c r="C103" s="242"/>
      <c r="D103" s="242"/>
      <c r="E103" s="242"/>
      <c r="F103" s="242"/>
      <c r="G103" s="242"/>
      <c r="H103" s="242"/>
      <c r="I103" s="242"/>
      <c r="J103" s="242"/>
      <c r="K103" s="242"/>
      <c r="L103" s="68"/>
      <c r="M103" s="68"/>
      <c r="N103" s="68"/>
      <c r="O103" s="68"/>
      <c r="P103" s="68"/>
    </row>
    <row r="104" spans="1:16" ht="15.75">
      <c r="A104" s="299"/>
      <c r="B104" s="242"/>
      <c r="C104" s="242"/>
      <c r="D104" s="242"/>
      <c r="E104" s="242"/>
      <c r="F104" s="242"/>
      <c r="G104" s="242"/>
      <c r="H104" s="242"/>
      <c r="I104" s="242"/>
      <c r="J104" s="242"/>
      <c r="K104" s="242"/>
      <c r="L104" s="68"/>
      <c r="M104" s="68"/>
      <c r="N104" s="68"/>
      <c r="O104" s="68"/>
      <c r="P104" s="68"/>
    </row>
    <row r="105" spans="1:16" ht="15.75">
      <c r="A105" s="299"/>
      <c r="B105" s="242"/>
      <c r="C105" s="242"/>
      <c r="D105" s="242"/>
      <c r="E105" s="242"/>
      <c r="F105" s="242"/>
      <c r="G105" s="242"/>
      <c r="H105" s="242"/>
      <c r="I105" s="242"/>
      <c r="J105" s="242"/>
      <c r="K105" s="242"/>
      <c r="L105" s="68"/>
      <c r="M105" s="68"/>
      <c r="N105" s="68"/>
      <c r="O105" s="68"/>
      <c r="P105" s="68"/>
    </row>
    <row r="106" spans="1:16" ht="15.75">
      <c r="A106" s="299"/>
      <c r="B106" s="242"/>
      <c r="C106" s="242"/>
      <c r="D106" s="242"/>
      <c r="E106" s="242"/>
      <c r="F106" s="242"/>
      <c r="G106" s="242"/>
      <c r="H106" s="242"/>
      <c r="I106" s="242"/>
      <c r="J106" s="242"/>
      <c r="K106" s="242"/>
      <c r="L106" s="68"/>
      <c r="M106" s="68"/>
      <c r="N106" s="68"/>
      <c r="O106" s="68"/>
      <c r="P106" s="68"/>
    </row>
    <row r="107" spans="1:16" ht="15.75">
      <c r="A107" s="299"/>
      <c r="B107" s="242"/>
      <c r="C107" s="242"/>
      <c r="D107" s="242"/>
      <c r="E107" s="242"/>
      <c r="F107" s="242"/>
      <c r="G107" s="242"/>
      <c r="H107" s="242"/>
      <c r="I107" s="242"/>
      <c r="J107" s="242"/>
      <c r="K107" s="242"/>
      <c r="L107" s="68"/>
      <c r="M107" s="68"/>
      <c r="N107" s="68"/>
      <c r="O107" s="68"/>
      <c r="P107" s="68"/>
    </row>
    <row r="108" spans="1:16" ht="15.75">
      <c r="A108" s="299"/>
      <c r="B108" s="242"/>
      <c r="C108" s="242"/>
      <c r="D108" s="242"/>
      <c r="E108" s="242"/>
      <c r="F108" s="242"/>
      <c r="G108" s="242"/>
      <c r="H108" s="242"/>
      <c r="I108" s="242"/>
      <c r="J108" s="242"/>
      <c r="K108" s="242"/>
      <c r="L108" s="68"/>
      <c r="M108" s="68"/>
      <c r="N108" s="68"/>
      <c r="O108" s="68"/>
      <c r="P108" s="68"/>
    </row>
    <row r="109" spans="1:16" ht="15.75">
      <c r="A109" s="299"/>
      <c r="B109" s="242"/>
      <c r="C109" s="242"/>
      <c r="D109" s="242"/>
      <c r="E109" s="242"/>
      <c r="F109" s="242"/>
      <c r="G109" s="242"/>
      <c r="H109" s="242"/>
      <c r="I109" s="242"/>
      <c r="J109" s="242"/>
      <c r="K109" s="242"/>
      <c r="L109" s="68"/>
      <c r="M109" s="68"/>
      <c r="N109" s="68"/>
      <c r="O109" s="68"/>
      <c r="P109" s="68"/>
    </row>
    <row r="110" spans="1:16" ht="15.75">
      <c r="A110" s="299"/>
      <c r="B110" s="242"/>
      <c r="C110" s="242"/>
      <c r="D110" s="242"/>
      <c r="E110" s="242"/>
      <c r="F110" s="242"/>
      <c r="G110" s="242"/>
      <c r="H110" s="242"/>
      <c r="I110" s="242"/>
      <c r="J110" s="242"/>
      <c r="K110" s="242"/>
      <c r="L110" s="68"/>
      <c r="M110" s="68"/>
      <c r="N110" s="68"/>
      <c r="O110" s="68"/>
      <c r="P110" s="68"/>
    </row>
    <row r="111" spans="1:16" ht="15.75">
      <c r="A111" s="299"/>
      <c r="B111" s="242"/>
      <c r="C111" s="242"/>
      <c r="D111" s="242"/>
      <c r="E111" s="242"/>
      <c r="F111" s="242"/>
      <c r="G111" s="242"/>
      <c r="H111" s="242"/>
      <c r="I111" s="242"/>
      <c r="J111" s="242"/>
      <c r="K111" s="242"/>
      <c r="L111" s="68"/>
      <c r="M111" s="68"/>
      <c r="N111" s="68"/>
      <c r="O111" s="68"/>
      <c r="P111" s="68"/>
    </row>
    <row r="112" spans="1:16" ht="15.75">
      <c r="A112" s="299"/>
      <c r="B112" s="242"/>
      <c r="C112" s="242"/>
      <c r="D112" s="242"/>
      <c r="E112" s="242"/>
      <c r="F112" s="242"/>
      <c r="G112" s="242"/>
      <c r="H112" s="242"/>
      <c r="I112" s="242"/>
      <c r="J112" s="242"/>
      <c r="K112" s="242"/>
      <c r="L112" s="68"/>
      <c r="M112" s="68"/>
      <c r="N112" s="68"/>
      <c r="O112" s="68"/>
      <c r="P112" s="68"/>
    </row>
    <row r="113" spans="1:16" ht="15.75">
      <c r="A113" s="299"/>
      <c r="B113" s="242"/>
      <c r="C113" s="242"/>
      <c r="D113" s="242"/>
      <c r="E113" s="242"/>
      <c r="F113" s="242"/>
      <c r="G113" s="242"/>
      <c r="H113" s="242"/>
      <c r="I113" s="242"/>
      <c r="J113" s="242"/>
      <c r="K113" s="242"/>
      <c r="L113" s="68"/>
      <c r="M113" s="68"/>
      <c r="N113" s="68"/>
      <c r="O113" s="68"/>
      <c r="P113" s="68"/>
    </row>
    <row r="114" spans="1:16" ht="15.75">
      <c r="A114" s="299"/>
      <c r="B114" s="242"/>
      <c r="C114" s="242"/>
      <c r="D114" s="242"/>
      <c r="E114" s="242"/>
      <c r="F114" s="242"/>
      <c r="G114" s="242"/>
      <c r="H114" s="242"/>
      <c r="I114" s="242"/>
      <c r="J114" s="242"/>
      <c r="K114" s="242"/>
      <c r="L114" s="68"/>
      <c r="M114" s="68"/>
      <c r="N114" s="68"/>
      <c r="O114" s="68"/>
      <c r="P114" s="68"/>
    </row>
    <row r="115" spans="1:16" ht="15.75">
      <c r="A115" s="299"/>
      <c r="B115" s="242"/>
      <c r="C115" s="242"/>
      <c r="D115" s="242"/>
      <c r="E115" s="242"/>
      <c r="F115" s="242"/>
      <c r="G115" s="242"/>
      <c r="H115" s="242"/>
      <c r="I115" s="242"/>
      <c r="J115" s="242"/>
      <c r="K115" s="242"/>
      <c r="L115" s="68"/>
      <c r="M115" s="68"/>
      <c r="N115" s="68"/>
      <c r="O115" s="68"/>
      <c r="P115" s="68"/>
    </row>
    <row r="116" spans="1:16" ht="15.75">
      <c r="A116" s="299"/>
      <c r="B116" s="242"/>
      <c r="C116" s="242"/>
      <c r="D116" s="242"/>
      <c r="E116" s="242"/>
      <c r="F116" s="242"/>
      <c r="G116" s="242"/>
      <c r="H116" s="242"/>
      <c r="I116" s="242"/>
      <c r="J116" s="242"/>
      <c r="K116" s="242"/>
      <c r="L116" s="68"/>
      <c r="M116" s="68"/>
      <c r="N116" s="68"/>
      <c r="O116" s="68"/>
      <c r="P116" s="68"/>
    </row>
    <row r="117" spans="1:16" ht="15.75">
      <c r="A117" s="299"/>
      <c r="B117" s="242"/>
      <c r="C117" s="242"/>
      <c r="D117" s="242"/>
      <c r="E117" s="242"/>
      <c r="F117" s="242"/>
      <c r="G117" s="242"/>
      <c r="H117" s="242"/>
      <c r="I117" s="242"/>
      <c r="J117" s="242"/>
      <c r="K117" s="242"/>
      <c r="L117" s="68"/>
      <c r="M117" s="68"/>
      <c r="N117" s="68"/>
      <c r="O117" s="68"/>
      <c r="P117" s="68"/>
    </row>
    <row r="118" spans="1:16" ht="15.75">
      <c r="A118" s="299"/>
      <c r="B118" s="242"/>
      <c r="C118" s="242"/>
      <c r="D118" s="242"/>
      <c r="E118" s="242"/>
      <c r="F118" s="242"/>
      <c r="G118" s="242"/>
      <c r="H118" s="242"/>
      <c r="I118" s="242"/>
      <c r="J118" s="242"/>
      <c r="K118" s="242"/>
      <c r="L118" s="68"/>
      <c r="M118" s="68"/>
      <c r="N118" s="68"/>
      <c r="O118" s="68"/>
      <c r="P118" s="68"/>
    </row>
    <row r="119" spans="1:16" ht="15.75">
      <c r="A119" s="299"/>
      <c r="B119" s="242"/>
      <c r="C119" s="242"/>
      <c r="D119" s="242"/>
      <c r="E119" s="242"/>
      <c r="F119" s="242"/>
      <c r="G119" s="242"/>
      <c r="H119" s="242"/>
      <c r="I119" s="242"/>
      <c r="J119" s="242"/>
      <c r="K119" s="242"/>
      <c r="L119" s="68"/>
      <c r="M119" s="68"/>
      <c r="N119" s="68"/>
      <c r="O119" s="68"/>
      <c r="P119" s="68"/>
    </row>
    <row r="120" spans="1:16" ht="15.75">
      <c r="A120" s="299"/>
      <c r="B120" s="242"/>
      <c r="C120" s="242"/>
      <c r="D120" s="242"/>
      <c r="E120" s="242"/>
      <c r="F120" s="242"/>
      <c r="G120" s="242"/>
      <c r="H120" s="242"/>
      <c r="I120" s="242"/>
      <c r="J120" s="242"/>
      <c r="K120" s="242"/>
      <c r="L120" s="68"/>
      <c r="M120" s="68"/>
      <c r="N120" s="68"/>
      <c r="O120" s="68"/>
      <c r="P120" s="68"/>
    </row>
    <row r="121" spans="1:16" ht="15.75">
      <c r="A121" s="71"/>
      <c r="B121" s="68"/>
      <c r="C121" s="68"/>
      <c r="D121" s="68"/>
      <c r="E121" s="68"/>
      <c r="F121" s="68"/>
      <c r="G121" s="68"/>
      <c r="H121" s="68"/>
      <c r="I121" s="68"/>
      <c r="J121" s="68"/>
      <c r="K121" s="68"/>
      <c r="L121" s="68"/>
      <c r="M121" s="68"/>
      <c r="N121" s="68"/>
      <c r="O121" s="68"/>
      <c r="P121" s="68"/>
    </row>
    <row r="122" spans="1:16" ht="15.75">
      <c r="A122" s="71"/>
      <c r="B122" s="68"/>
      <c r="C122" s="68"/>
      <c r="D122" s="68"/>
      <c r="E122" s="68"/>
      <c r="F122" s="68"/>
      <c r="G122" s="68"/>
      <c r="H122" s="68"/>
      <c r="I122" s="68"/>
      <c r="J122" s="68"/>
      <c r="K122" s="68"/>
      <c r="L122" s="68"/>
      <c r="M122" s="68"/>
      <c r="N122" s="68"/>
      <c r="O122" s="68"/>
      <c r="P122" s="68"/>
    </row>
    <row r="123" spans="1:16" ht="15.75">
      <c r="A123" s="71"/>
      <c r="B123" s="68"/>
      <c r="C123" s="68"/>
      <c r="D123" s="68"/>
      <c r="E123" s="68"/>
      <c r="F123" s="68"/>
      <c r="G123" s="68"/>
      <c r="H123" s="68"/>
      <c r="I123" s="68"/>
      <c r="J123" s="68"/>
      <c r="K123" s="68"/>
      <c r="L123" s="68"/>
      <c r="M123" s="68"/>
      <c r="N123" s="68"/>
      <c r="O123" s="68"/>
      <c r="P123" s="68"/>
    </row>
    <row r="124" spans="1:16" ht="15.75">
      <c r="A124" s="71"/>
      <c r="B124" s="68"/>
      <c r="C124" s="68"/>
      <c r="D124" s="68"/>
      <c r="E124" s="68"/>
      <c r="F124" s="68"/>
      <c r="G124" s="68"/>
      <c r="H124" s="68"/>
      <c r="I124" s="68"/>
      <c r="J124" s="68"/>
      <c r="K124" s="68"/>
      <c r="L124" s="68"/>
      <c r="M124" s="68"/>
      <c r="N124" s="68"/>
      <c r="O124" s="68"/>
      <c r="P124" s="68"/>
    </row>
    <row r="125" spans="1:16" ht="15.75">
      <c r="A125" s="71"/>
      <c r="B125" s="68"/>
      <c r="C125" s="68"/>
      <c r="D125" s="68"/>
      <c r="E125" s="68"/>
      <c r="F125" s="68"/>
      <c r="G125" s="68"/>
      <c r="H125" s="68"/>
      <c r="I125" s="68"/>
      <c r="J125" s="68"/>
      <c r="K125" s="68"/>
      <c r="L125" s="68"/>
      <c r="M125" s="68"/>
      <c r="N125" s="68"/>
      <c r="O125" s="68"/>
      <c r="P125" s="68"/>
    </row>
    <row r="126" spans="1:16" ht="15.75">
      <c r="A126" s="71"/>
      <c r="B126" s="68"/>
      <c r="C126" s="68"/>
      <c r="D126" s="68"/>
      <c r="E126" s="68"/>
      <c r="F126" s="68"/>
      <c r="G126" s="68"/>
      <c r="H126" s="68"/>
      <c r="I126" s="68"/>
      <c r="J126" s="68"/>
      <c r="K126" s="68"/>
      <c r="L126" s="68"/>
      <c r="M126" s="68"/>
      <c r="N126" s="68"/>
      <c r="O126" s="68"/>
      <c r="P126" s="68"/>
    </row>
    <row r="127" spans="1:16" ht="15.75">
      <c r="A127" s="71"/>
      <c r="B127" s="68"/>
      <c r="C127" s="68"/>
      <c r="D127" s="68"/>
      <c r="E127" s="68"/>
      <c r="F127" s="68"/>
      <c r="G127" s="68"/>
      <c r="H127" s="68"/>
      <c r="I127" s="68"/>
      <c r="J127" s="68"/>
      <c r="K127" s="68"/>
      <c r="L127" s="68"/>
      <c r="M127" s="68"/>
      <c r="N127" s="68"/>
      <c r="O127" s="68"/>
      <c r="P127" s="68"/>
    </row>
    <row r="128" spans="1:16" ht="15.75">
      <c r="A128" s="71"/>
      <c r="B128" s="68"/>
      <c r="C128" s="68"/>
      <c r="D128" s="68"/>
      <c r="E128" s="68"/>
      <c r="F128" s="68"/>
      <c r="G128" s="68"/>
      <c r="H128" s="68"/>
      <c r="I128" s="68"/>
      <c r="J128" s="68"/>
      <c r="K128" s="68"/>
      <c r="L128" s="68"/>
      <c r="M128" s="68"/>
      <c r="N128" s="68"/>
      <c r="O128" s="68"/>
      <c r="P128" s="68"/>
    </row>
    <row r="129" spans="1:16" ht="15.75">
      <c r="A129" s="71"/>
      <c r="B129" s="68"/>
      <c r="C129" s="68"/>
      <c r="D129" s="68"/>
      <c r="E129" s="68"/>
      <c r="F129" s="68"/>
      <c r="G129" s="68"/>
      <c r="H129" s="68"/>
      <c r="I129" s="68"/>
      <c r="J129" s="68"/>
      <c r="K129" s="68"/>
      <c r="L129" s="68"/>
      <c r="M129" s="68"/>
      <c r="N129" s="68"/>
      <c r="O129" s="68"/>
      <c r="P129" s="68"/>
    </row>
    <row r="130" spans="1:16" ht="15.75">
      <c r="A130" s="71"/>
      <c r="B130" s="68"/>
      <c r="C130" s="68"/>
      <c r="D130" s="68"/>
      <c r="E130" s="68"/>
      <c r="F130" s="68"/>
      <c r="G130" s="68"/>
      <c r="H130" s="68"/>
      <c r="I130" s="68"/>
      <c r="J130" s="68"/>
      <c r="K130" s="68"/>
      <c r="L130" s="68"/>
      <c r="M130" s="68"/>
      <c r="N130" s="68"/>
      <c r="O130" s="68"/>
      <c r="P130" s="68"/>
    </row>
    <row r="131" spans="1:16" ht="15.75">
      <c r="A131" s="71"/>
      <c r="B131" s="68"/>
      <c r="C131" s="68"/>
      <c r="D131" s="68"/>
      <c r="E131" s="68"/>
      <c r="F131" s="68"/>
      <c r="G131" s="68"/>
      <c r="H131" s="68"/>
      <c r="I131" s="68"/>
      <c r="J131" s="68"/>
      <c r="K131" s="68"/>
      <c r="L131" s="68"/>
      <c r="M131" s="68"/>
      <c r="N131" s="68"/>
      <c r="O131" s="68"/>
      <c r="P131" s="68"/>
    </row>
    <row r="132" spans="1:16" ht="15.75">
      <c r="A132" s="71"/>
      <c r="B132" s="68"/>
      <c r="C132" s="68"/>
      <c r="D132" s="68"/>
      <c r="E132" s="68"/>
      <c r="F132" s="68"/>
      <c r="G132" s="68"/>
      <c r="H132" s="68"/>
      <c r="I132" s="68"/>
      <c r="J132" s="68"/>
      <c r="K132" s="68"/>
      <c r="L132" s="68"/>
      <c r="M132" s="68"/>
      <c r="N132" s="68"/>
      <c r="O132" s="68"/>
      <c r="P132" s="68"/>
    </row>
    <row r="133" spans="1:16" ht="15.75">
      <c r="A133" s="71"/>
      <c r="B133" s="68"/>
      <c r="C133" s="68"/>
      <c r="D133" s="68"/>
      <c r="E133" s="68"/>
      <c r="F133" s="68"/>
      <c r="G133" s="68"/>
      <c r="H133" s="68"/>
      <c r="I133" s="68"/>
      <c r="J133" s="68"/>
      <c r="K133" s="68"/>
      <c r="L133" s="68"/>
      <c r="M133" s="68"/>
      <c r="N133" s="68"/>
      <c r="O133" s="68"/>
      <c r="P133" s="68"/>
    </row>
    <row r="134" spans="1:16" ht="15.75">
      <c r="A134" s="71"/>
      <c r="B134" s="68"/>
      <c r="C134" s="68"/>
      <c r="D134" s="68"/>
      <c r="E134" s="68"/>
      <c r="F134" s="68"/>
      <c r="G134" s="68"/>
      <c r="H134" s="68"/>
      <c r="I134" s="68"/>
      <c r="J134" s="68"/>
      <c r="K134" s="68"/>
      <c r="L134" s="68"/>
      <c r="M134" s="68"/>
      <c r="N134" s="68"/>
      <c r="O134" s="68"/>
      <c r="P134" s="68"/>
    </row>
    <row r="135" spans="1:16" ht="15.75">
      <c r="A135" s="71"/>
      <c r="B135" s="68"/>
      <c r="C135" s="68"/>
      <c r="D135" s="68"/>
      <c r="E135" s="68"/>
      <c r="F135" s="68"/>
      <c r="G135" s="68"/>
      <c r="H135" s="68"/>
      <c r="I135" s="68"/>
      <c r="J135" s="68"/>
      <c r="K135" s="68"/>
      <c r="L135" s="68"/>
      <c r="M135" s="68"/>
      <c r="N135" s="68"/>
      <c r="O135" s="68"/>
      <c r="P135" s="68"/>
    </row>
    <row r="136" spans="1:16" ht="15.75">
      <c r="A136" s="71"/>
      <c r="B136" s="68"/>
      <c r="C136" s="68"/>
      <c r="D136" s="68"/>
      <c r="E136" s="68"/>
      <c r="F136" s="68"/>
      <c r="G136" s="68"/>
      <c r="H136" s="68"/>
      <c r="I136" s="68"/>
      <c r="J136" s="68"/>
      <c r="K136" s="68"/>
      <c r="L136" s="68"/>
      <c r="M136" s="68"/>
      <c r="N136" s="68"/>
      <c r="O136" s="68"/>
      <c r="P136" s="68"/>
    </row>
    <row r="137" spans="1:16" ht="15.75">
      <c r="A137" s="71"/>
      <c r="B137" s="68"/>
      <c r="C137" s="68"/>
      <c r="D137" s="68"/>
      <c r="E137" s="68"/>
      <c r="F137" s="68"/>
      <c r="G137" s="68"/>
      <c r="H137" s="68"/>
      <c r="I137" s="68"/>
      <c r="J137" s="68"/>
      <c r="K137" s="68"/>
      <c r="L137" s="68"/>
      <c r="M137" s="68"/>
      <c r="N137" s="68"/>
      <c r="O137" s="68"/>
      <c r="P137" s="68"/>
    </row>
    <row r="138" spans="1:16" ht="15.75">
      <c r="A138" s="71"/>
      <c r="B138" s="68"/>
      <c r="C138" s="68"/>
      <c r="D138" s="68"/>
      <c r="E138" s="68"/>
      <c r="F138" s="68"/>
      <c r="G138" s="68"/>
      <c r="H138" s="68"/>
      <c r="I138" s="68"/>
      <c r="J138" s="68"/>
      <c r="K138" s="68"/>
      <c r="L138" s="68"/>
      <c r="M138" s="68"/>
      <c r="N138" s="68"/>
      <c r="O138" s="68"/>
      <c r="P138" s="68"/>
    </row>
    <row r="139" spans="1:16" ht="15.75">
      <c r="A139" s="71"/>
      <c r="B139" s="68"/>
      <c r="C139" s="68"/>
      <c r="D139" s="68"/>
      <c r="E139" s="68"/>
      <c r="F139" s="68"/>
      <c r="G139" s="68"/>
      <c r="H139" s="68"/>
      <c r="I139" s="68"/>
      <c r="J139" s="68"/>
      <c r="K139" s="68"/>
      <c r="L139" s="68"/>
      <c r="M139" s="68"/>
      <c r="N139" s="68"/>
      <c r="O139" s="68"/>
      <c r="P139" s="68"/>
    </row>
    <row r="140" spans="1:16" ht="15.75">
      <c r="A140" s="71"/>
      <c r="B140" s="68"/>
      <c r="C140" s="68"/>
      <c r="D140" s="68"/>
      <c r="E140" s="68"/>
      <c r="F140" s="68"/>
      <c r="G140" s="68"/>
      <c r="H140" s="68"/>
      <c r="I140" s="68"/>
      <c r="J140" s="68"/>
      <c r="K140" s="68"/>
      <c r="L140" s="68"/>
      <c r="M140" s="68"/>
      <c r="N140" s="68"/>
      <c r="O140" s="68"/>
      <c r="P140" s="68"/>
    </row>
    <row r="141" spans="1:16" ht="15.75">
      <c r="A141" s="71"/>
      <c r="B141" s="68"/>
      <c r="C141" s="68"/>
      <c r="D141" s="68"/>
      <c r="E141" s="68"/>
      <c r="F141" s="68"/>
      <c r="G141" s="68"/>
      <c r="H141" s="68"/>
      <c r="I141" s="68"/>
      <c r="J141" s="68"/>
      <c r="K141" s="68"/>
      <c r="L141" s="68"/>
      <c r="M141" s="68"/>
      <c r="N141" s="68"/>
      <c r="O141" s="68"/>
      <c r="P141" s="68"/>
    </row>
    <row r="142" spans="1:16" ht="15.75">
      <c r="A142" s="71"/>
      <c r="B142" s="68"/>
      <c r="C142" s="68"/>
      <c r="D142" s="68"/>
      <c r="E142" s="68"/>
      <c r="F142" s="68"/>
      <c r="G142" s="68"/>
      <c r="H142" s="68"/>
      <c r="I142" s="68"/>
      <c r="J142" s="68"/>
      <c r="K142" s="68"/>
      <c r="L142" s="68"/>
      <c r="M142" s="68"/>
      <c r="N142" s="68"/>
      <c r="O142" s="68"/>
      <c r="P142" s="68"/>
    </row>
    <row r="143" spans="1:16" ht="15.75">
      <c r="A143" s="71"/>
      <c r="B143" s="68"/>
      <c r="C143" s="68"/>
      <c r="D143" s="68"/>
      <c r="E143" s="68"/>
      <c r="F143" s="68"/>
      <c r="G143" s="68"/>
      <c r="H143" s="68"/>
      <c r="I143" s="68"/>
      <c r="J143" s="68"/>
      <c r="K143" s="68"/>
      <c r="L143" s="68"/>
      <c r="M143" s="68"/>
      <c r="N143" s="68"/>
      <c r="O143" s="68"/>
      <c r="P143" s="68"/>
    </row>
    <row r="144" spans="1:16" ht="15.75">
      <c r="A144" s="71"/>
      <c r="B144" s="68"/>
      <c r="C144" s="68"/>
      <c r="D144" s="68"/>
      <c r="E144" s="68"/>
      <c r="F144" s="68"/>
      <c r="G144" s="68"/>
      <c r="H144" s="68"/>
      <c r="I144" s="68"/>
      <c r="J144" s="68"/>
      <c r="K144" s="68"/>
      <c r="L144" s="68"/>
      <c r="M144" s="68"/>
      <c r="N144" s="68"/>
      <c r="O144" s="68"/>
      <c r="P144" s="68"/>
    </row>
    <row r="145" spans="1:16" ht="15.75">
      <c r="A145" s="71"/>
      <c r="B145" s="68"/>
      <c r="C145" s="68"/>
      <c r="D145" s="68"/>
      <c r="E145" s="68"/>
      <c r="F145" s="68"/>
      <c r="G145" s="68"/>
      <c r="H145" s="68"/>
      <c r="I145" s="68"/>
      <c r="J145" s="68"/>
      <c r="K145" s="68"/>
      <c r="L145" s="68"/>
      <c r="M145" s="68"/>
      <c r="N145" s="68"/>
      <c r="O145" s="68"/>
      <c r="P145" s="68"/>
    </row>
    <row r="146" spans="1:16" ht="15.75">
      <c r="A146" s="71"/>
      <c r="B146" s="68"/>
      <c r="C146" s="68"/>
      <c r="D146" s="68"/>
      <c r="E146" s="68"/>
      <c r="F146" s="68"/>
      <c r="G146" s="68"/>
      <c r="H146" s="68"/>
      <c r="I146" s="68"/>
      <c r="J146" s="68"/>
      <c r="K146" s="68"/>
      <c r="L146" s="68"/>
      <c r="M146" s="68"/>
      <c r="N146" s="68"/>
      <c r="O146" s="68"/>
      <c r="P146" s="68"/>
    </row>
    <row r="147" spans="1:16" ht="15.75">
      <c r="A147" s="71"/>
      <c r="B147" s="68"/>
      <c r="C147" s="68"/>
      <c r="D147" s="68"/>
      <c r="E147" s="68"/>
      <c r="F147" s="68"/>
      <c r="G147" s="68"/>
      <c r="H147" s="68"/>
      <c r="I147" s="68"/>
      <c r="J147" s="68"/>
      <c r="K147" s="68"/>
      <c r="L147" s="68"/>
      <c r="M147" s="68"/>
      <c r="N147" s="68"/>
      <c r="O147" s="68"/>
      <c r="P147" s="68"/>
    </row>
    <row r="148" spans="1:16" ht="15.75">
      <c r="A148" s="71"/>
      <c r="B148" s="68"/>
      <c r="C148" s="68"/>
      <c r="D148" s="68"/>
      <c r="E148" s="68"/>
      <c r="F148" s="68"/>
      <c r="G148" s="68"/>
      <c r="H148" s="68"/>
      <c r="I148" s="68"/>
      <c r="J148" s="68"/>
      <c r="K148" s="68"/>
      <c r="L148" s="68"/>
      <c r="M148" s="68"/>
      <c r="N148" s="68"/>
      <c r="O148" s="68"/>
      <c r="P148" s="68"/>
    </row>
    <row r="149" spans="1:16" ht="15.75">
      <c r="A149" s="71"/>
      <c r="B149" s="68"/>
      <c r="C149" s="68"/>
      <c r="D149" s="68"/>
      <c r="E149" s="68"/>
      <c r="F149" s="68"/>
      <c r="G149" s="68"/>
      <c r="H149" s="68"/>
      <c r="I149" s="68"/>
      <c r="J149" s="68"/>
      <c r="K149" s="68"/>
      <c r="L149" s="68"/>
      <c r="M149" s="68"/>
      <c r="N149" s="68"/>
      <c r="O149" s="68"/>
      <c r="P149" s="68"/>
    </row>
    <row r="150" spans="1:16" ht="15.75">
      <c r="A150" s="71"/>
      <c r="B150" s="68"/>
      <c r="C150" s="68"/>
      <c r="D150" s="68"/>
      <c r="E150" s="68"/>
      <c r="F150" s="68"/>
      <c r="G150" s="68"/>
      <c r="H150" s="68"/>
      <c r="I150" s="68"/>
      <c r="J150" s="68"/>
      <c r="K150" s="68"/>
      <c r="L150" s="68"/>
      <c r="M150" s="68"/>
      <c r="N150" s="68"/>
      <c r="O150" s="68"/>
      <c r="P150" s="68"/>
    </row>
    <row r="151" spans="1:16" ht="15.75">
      <c r="A151" s="71"/>
      <c r="B151" s="68"/>
      <c r="C151" s="68"/>
      <c r="D151" s="68"/>
      <c r="E151" s="68"/>
      <c r="F151" s="68"/>
      <c r="G151" s="68"/>
      <c r="H151" s="68"/>
      <c r="I151" s="68"/>
      <c r="J151" s="68"/>
      <c r="K151" s="68"/>
      <c r="L151" s="68"/>
      <c r="M151" s="68"/>
      <c r="N151" s="68"/>
      <c r="O151" s="68"/>
      <c r="P151" s="68"/>
    </row>
    <row r="152" spans="1:16" ht="15.75">
      <c r="A152" s="71"/>
      <c r="B152" s="68"/>
      <c r="C152" s="68"/>
      <c r="D152" s="68"/>
      <c r="E152" s="68"/>
      <c r="F152" s="68"/>
      <c r="G152" s="68"/>
      <c r="H152" s="68"/>
      <c r="I152" s="68"/>
      <c r="J152" s="68"/>
      <c r="K152" s="68"/>
      <c r="L152" s="68"/>
      <c r="M152" s="68"/>
      <c r="N152" s="68"/>
      <c r="O152" s="68"/>
      <c r="P152" s="68"/>
    </row>
    <row r="153" spans="1:16" ht="15.75">
      <c r="A153" s="71"/>
      <c r="B153" s="68"/>
      <c r="C153" s="68"/>
      <c r="D153" s="68"/>
      <c r="E153" s="68"/>
      <c r="F153" s="68"/>
      <c r="G153" s="68"/>
      <c r="H153" s="68"/>
      <c r="I153" s="68"/>
      <c r="J153" s="68"/>
      <c r="K153" s="68"/>
      <c r="L153" s="68"/>
      <c r="M153" s="68"/>
      <c r="N153" s="68"/>
      <c r="O153" s="68"/>
      <c r="P153" s="68"/>
    </row>
    <row r="154" spans="1:16" ht="15.75">
      <c r="A154" s="71"/>
      <c r="B154" s="68"/>
      <c r="C154" s="68"/>
      <c r="D154" s="68"/>
      <c r="E154" s="68"/>
      <c r="F154" s="68"/>
      <c r="G154" s="68"/>
      <c r="H154" s="68"/>
      <c r="I154" s="68"/>
      <c r="J154" s="68"/>
      <c r="K154" s="68"/>
      <c r="L154" s="68"/>
      <c r="M154" s="68"/>
      <c r="N154" s="68"/>
      <c r="O154" s="68"/>
      <c r="P154" s="68"/>
    </row>
    <row r="155" spans="1:16" ht="15.75">
      <c r="A155" s="71"/>
      <c r="B155" s="68"/>
      <c r="C155" s="68"/>
      <c r="D155" s="68"/>
      <c r="E155" s="68"/>
      <c r="F155" s="68"/>
      <c r="G155" s="68"/>
      <c r="H155" s="68"/>
      <c r="I155" s="68"/>
      <c r="J155" s="68"/>
      <c r="K155" s="68"/>
      <c r="L155" s="68"/>
      <c r="M155" s="68"/>
      <c r="N155" s="68"/>
      <c r="O155" s="68"/>
      <c r="P155" s="68"/>
    </row>
  </sheetData>
  <mergeCells count="6">
    <mergeCell ref="I74:J74"/>
    <mergeCell ref="H1:K1"/>
    <mergeCell ref="H2:K2"/>
    <mergeCell ref="A1:E2"/>
    <mergeCell ref="I72:J72"/>
    <mergeCell ref="I73:J73"/>
  </mergeCells>
  <dataValidations count="4">
    <dataValidation type="list" showInputMessage="1" showErrorMessage="1" sqref="E9">
      <formula1>Perf</formula1>
    </dataValidation>
    <dataValidation type="list" allowBlank="1" showInputMessage="1" showErrorMessage="1" sqref="E28">
      <formula1>Diam</formula1>
    </dataValidation>
    <dataValidation type="list" showInputMessage="1" showErrorMessage="1" sqref="E60">
      <formula1>perfgpm</formula1>
    </dataValidation>
    <dataValidation type="list" showInputMessage="1" showErrorMessage="1" sqref="F75 E69">
      <formula1>piped</formula1>
    </dataValidation>
  </dataValidations>
  <pageMargins left="0.5" right="0.5" top="0.5" bottom="0.5" header="0.5" footer="0.5"/>
  <pageSetup scale="75"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tint="0.59999389629810485"/>
  </sheetPr>
  <dimension ref="A1:P76"/>
  <sheetViews>
    <sheetView showGridLines="0" topLeftCell="A32" zoomScaleNormal="100" workbookViewId="0">
      <selection activeCell="M63" sqref="M63"/>
    </sheetView>
  </sheetViews>
  <sheetFormatPr defaultRowHeight="14.1" customHeight="1"/>
  <cols>
    <col min="1" max="1" width="3.140625" style="35" customWidth="1"/>
    <col min="2" max="2" width="26.7109375" style="18" customWidth="1"/>
    <col min="3" max="3" width="10.7109375" style="18" bestFit="1" customWidth="1"/>
    <col min="4" max="4" width="12.28515625" style="18" customWidth="1"/>
    <col min="5" max="5" width="7.28515625" style="18" customWidth="1"/>
    <col min="6" max="6" width="11.28515625" style="18" customWidth="1"/>
    <col min="7" max="7" width="10.28515625" style="18" customWidth="1"/>
    <col min="8" max="8" width="9.140625" style="18"/>
    <col min="9" max="9" width="8.7109375" style="18" bestFit="1" customWidth="1"/>
    <col min="10" max="10" width="6.140625" style="18" customWidth="1"/>
    <col min="11" max="11" width="5.28515625" style="18" customWidth="1"/>
    <col min="12" max="12" width="6" style="19" customWidth="1"/>
    <col min="13" max="13" width="9.140625" style="18"/>
    <col min="14" max="14" width="9.5703125" style="18" customWidth="1"/>
    <col min="15" max="16384" width="9.140625" style="18"/>
  </cols>
  <sheetData>
    <row r="1" spans="1:16" s="6" customFormat="1" ht="15" customHeight="1">
      <c r="A1" s="775" t="s">
        <v>820</v>
      </c>
      <c r="B1" s="776"/>
      <c r="C1" s="776"/>
      <c r="D1" s="776"/>
      <c r="E1" s="776"/>
      <c r="F1" s="601" t="s">
        <v>809</v>
      </c>
      <c r="G1" s="753">
        <f>'Site Evaluation'!J1</f>
        <v>2345</v>
      </c>
      <c r="H1" s="753"/>
      <c r="I1" s="753"/>
      <c r="J1" s="754"/>
      <c r="K1" s="295"/>
      <c r="L1" s="374"/>
      <c r="M1" s="70"/>
      <c r="N1" s="70"/>
      <c r="O1" s="70"/>
    </row>
    <row r="2" spans="1:16" s="6" customFormat="1" ht="15" customHeight="1">
      <c r="A2" s="777"/>
      <c r="B2" s="778"/>
      <c r="C2" s="778"/>
      <c r="D2" s="778"/>
      <c r="E2" s="778"/>
      <c r="F2" s="600" t="s">
        <v>803</v>
      </c>
      <c r="G2" s="751" t="str">
        <f>IF(ISBLANK('Site Evaluation'!B6),"",'Site Evaluation'!B6)</f>
        <v/>
      </c>
      <c r="H2" s="751"/>
      <c r="I2" s="751"/>
      <c r="J2" s="752"/>
      <c r="K2" s="295"/>
      <c r="L2" s="374"/>
      <c r="M2" s="70"/>
      <c r="N2" s="70"/>
      <c r="O2" s="70"/>
    </row>
    <row r="3" spans="1:16" s="5" customFormat="1" ht="9.75" customHeight="1">
      <c r="A3" s="242"/>
      <c r="B3" s="242"/>
      <c r="C3" s="243"/>
      <c r="D3" s="242"/>
      <c r="E3" s="243"/>
      <c r="F3" s="242"/>
      <c r="G3" s="242"/>
      <c r="H3" s="242"/>
      <c r="I3" s="242"/>
      <c r="J3" s="242"/>
      <c r="K3" s="242"/>
      <c r="L3" s="243"/>
      <c r="M3" s="68"/>
      <c r="N3" s="68"/>
      <c r="O3" s="68"/>
    </row>
    <row r="4" spans="1:16" s="36" customFormat="1" ht="20.25" customHeight="1">
      <c r="A4" s="349" t="s">
        <v>57</v>
      </c>
      <c r="B4" s="350" t="s">
        <v>333</v>
      </c>
      <c r="C4" s="350"/>
      <c r="D4" s="350"/>
      <c r="E4" s="350"/>
      <c r="F4" s="350"/>
      <c r="G4" s="350"/>
      <c r="H4" s="350"/>
      <c r="I4" s="350"/>
      <c r="J4" s="351"/>
      <c r="K4" s="298"/>
      <c r="L4" s="374"/>
      <c r="M4" s="70"/>
      <c r="N4" s="70"/>
      <c r="O4" s="70"/>
    </row>
    <row r="5" spans="1:16" s="36" customFormat="1" ht="14.1" customHeight="1">
      <c r="A5" s="297"/>
      <c r="B5" s="298"/>
      <c r="C5" s="298"/>
      <c r="D5" s="298"/>
      <c r="E5" s="298"/>
      <c r="F5" s="298"/>
      <c r="G5" s="298"/>
      <c r="H5" s="298"/>
      <c r="I5" s="298"/>
      <c r="J5" s="298"/>
      <c r="K5" s="298"/>
      <c r="L5" s="374"/>
      <c r="M5" s="70"/>
      <c r="N5" s="70"/>
      <c r="O5" s="70"/>
    </row>
    <row r="6" spans="1:16" s="1" customFormat="1" ht="14.1" customHeight="1">
      <c r="A6" s="299"/>
      <c r="B6" s="298" t="s">
        <v>332</v>
      </c>
      <c r="C6" s="242"/>
      <c r="D6" s="242"/>
      <c r="E6" s="242"/>
      <c r="F6" s="242"/>
      <c r="G6" s="242"/>
      <c r="H6" s="242"/>
      <c r="I6" s="242"/>
      <c r="J6" s="242"/>
      <c r="K6" s="242"/>
      <c r="L6" s="243"/>
      <c r="M6" s="68"/>
      <c r="N6" s="68"/>
      <c r="O6" s="68"/>
    </row>
    <row r="7" spans="1:16" s="1" customFormat="1" ht="14.1" customHeight="1">
      <c r="A7" s="299"/>
      <c r="B7" s="242" t="s">
        <v>331</v>
      </c>
      <c r="C7" s="242"/>
      <c r="D7" s="242"/>
      <c r="E7" s="242"/>
      <c r="F7" s="242"/>
      <c r="G7" s="242"/>
      <c r="H7" s="242"/>
      <c r="I7" s="242"/>
      <c r="J7" s="242"/>
      <c r="K7" s="242"/>
      <c r="L7" s="243"/>
      <c r="M7" s="68"/>
      <c r="N7" s="68"/>
      <c r="O7" s="68"/>
    </row>
    <row r="8" spans="1:16" s="1" customFormat="1" ht="14.1" customHeight="1">
      <c r="A8" s="299"/>
      <c r="B8" s="242" t="s">
        <v>330</v>
      </c>
      <c r="C8" s="242"/>
      <c r="D8" s="242"/>
      <c r="E8" s="242"/>
      <c r="F8" s="242"/>
      <c r="G8" s="242"/>
      <c r="H8" s="242"/>
      <c r="I8" s="242"/>
      <c r="J8" s="242"/>
      <c r="K8" s="242"/>
      <c r="L8" s="243"/>
      <c r="M8" s="68"/>
      <c r="N8" s="68"/>
      <c r="O8" s="68"/>
    </row>
    <row r="9" spans="1:16" s="1" customFormat="1" ht="14.1" customHeight="1">
      <c r="A9" s="299"/>
      <c r="B9" s="242" t="s">
        <v>329</v>
      </c>
      <c r="C9" s="242"/>
      <c r="D9" s="242"/>
      <c r="E9" s="242"/>
      <c r="F9" s="242"/>
      <c r="G9" s="242"/>
      <c r="H9" s="242"/>
      <c r="I9" s="242"/>
      <c r="J9" s="242"/>
      <c r="K9" s="242"/>
      <c r="L9" s="243"/>
      <c r="M9" s="68"/>
      <c r="N9" s="68"/>
      <c r="O9" s="68"/>
    </row>
    <row r="10" spans="1:16" s="1" customFormat="1" ht="14.1" customHeight="1">
      <c r="A10" s="299"/>
      <c r="B10" s="242" t="s">
        <v>328</v>
      </c>
      <c r="C10" s="242"/>
      <c r="D10" s="242"/>
      <c r="E10" s="242"/>
      <c r="F10" s="242"/>
      <c r="G10" s="242"/>
      <c r="H10" s="242"/>
      <c r="I10" s="242"/>
      <c r="J10" s="242"/>
      <c r="K10" s="242"/>
      <c r="L10" s="243"/>
      <c r="M10" s="68"/>
      <c r="N10" s="68"/>
      <c r="O10" s="68"/>
    </row>
    <row r="11" spans="1:16" s="1" customFormat="1" ht="14.1" customHeight="1">
      <c r="A11" s="299"/>
      <c r="B11" s="242" t="s">
        <v>327</v>
      </c>
      <c r="C11" s="242"/>
      <c r="D11" s="242"/>
      <c r="E11" s="242"/>
      <c r="F11" s="242"/>
      <c r="G11" s="242"/>
      <c r="H11" s="242"/>
      <c r="I11" s="242"/>
      <c r="J11" s="242"/>
      <c r="K11" s="242"/>
      <c r="L11" s="243"/>
      <c r="M11" s="68"/>
      <c r="N11" s="68"/>
      <c r="O11" s="68"/>
    </row>
    <row r="12" spans="1:16" s="1" customFormat="1" ht="9" customHeight="1">
      <c r="A12" s="299"/>
      <c r="B12" s="242"/>
      <c r="C12" s="242"/>
      <c r="D12" s="242"/>
      <c r="E12" s="242"/>
      <c r="F12" s="242"/>
      <c r="G12" s="242"/>
      <c r="H12" s="242"/>
      <c r="I12" s="242"/>
      <c r="J12" s="242"/>
      <c r="K12" s="242"/>
      <c r="L12" s="243"/>
      <c r="M12" s="68"/>
      <c r="N12" s="68"/>
      <c r="O12" s="68"/>
    </row>
    <row r="13" spans="1:16" s="1" customFormat="1" ht="14.1" customHeight="1">
      <c r="A13" s="299"/>
      <c r="B13" s="298" t="s">
        <v>634</v>
      </c>
      <c r="C13" s="242"/>
      <c r="D13" s="242"/>
      <c r="E13" s="242"/>
      <c r="F13" s="242"/>
      <c r="G13" s="242"/>
      <c r="H13" s="242"/>
      <c r="I13" s="242"/>
      <c r="J13" s="242"/>
      <c r="K13" s="242"/>
      <c r="L13" s="243"/>
      <c r="M13" s="68"/>
      <c r="N13" s="68"/>
      <c r="O13" s="68"/>
    </row>
    <row r="14" spans="1:16" s="1" customFormat="1" ht="7.5" customHeight="1">
      <c r="A14" s="299"/>
      <c r="B14" s="242"/>
      <c r="C14" s="242"/>
      <c r="D14" s="242"/>
      <c r="E14" s="242"/>
      <c r="F14" s="242"/>
      <c r="G14" s="242"/>
      <c r="H14" s="242"/>
      <c r="I14" s="242"/>
      <c r="J14" s="242"/>
      <c r="K14" s="242"/>
      <c r="L14" s="243"/>
      <c r="M14" s="70"/>
      <c r="N14" s="7"/>
      <c r="O14" s="7"/>
      <c r="P14" s="7"/>
    </row>
    <row r="15" spans="1:16" s="7" customFormat="1" ht="15.75" customHeight="1">
      <c r="A15" s="297"/>
      <c r="B15" s="298" t="s">
        <v>633</v>
      </c>
      <c r="C15" s="298"/>
      <c r="D15" s="298"/>
      <c r="E15" s="246">
        <f>IF(ISBLANK('PresDist '!H60),"",'PresDist '!H60)</f>
        <v>38.479999999999997</v>
      </c>
      <c r="F15" s="298" t="s">
        <v>183</v>
      </c>
      <c r="G15" s="298"/>
      <c r="H15" s="298"/>
      <c r="I15" s="298"/>
      <c r="J15" s="298"/>
      <c r="K15" s="298"/>
      <c r="L15" s="374"/>
    </row>
    <row r="16" spans="1:16" s="1" customFormat="1" ht="9" customHeight="1">
      <c r="A16" s="299"/>
      <c r="B16" s="242"/>
      <c r="C16" s="242"/>
      <c r="D16" s="242"/>
      <c r="E16" s="242"/>
      <c r="F16" s="242"/>
      <c r="G16" s="242"/>
      <c r="H16" s="242"/>
      <c r="I16" s="242"/>
      <c r="J16" s="242"/>
      <c r="K16" s="242"/>
      <c r="L16" s="243"/>
      <c r="M16" s="7"/>
      <c r="N16" s="7"/>
      <c r="O16" s="7"/>
      <c r="P16" s="7"/>
    </row>
    <row r="17" spans="1:16" s="1" customFormat="1" ht="20.25" customHeight="1">
      <c r="A17" s="349" t="s">
        <v>64</v>
      </c>
      <c r="B17" s="350" t="s">
        <v>326</v>
      </c>
      <c r="C17" s="350"/>
      <c r="D17" s="350"/>
      <c r="E17" s="353"/>
      <c r="F17" s="353"/>
      <c r="G17" s="353"/>
      <c r="H17" s="353"/>
      <c r="I17" s="353"/>
      <c r="J17" s="355"/>
      <c r="K17" s="242"/>
      <c r="L17" s="243"/>
      <c r="M17" s="7"/>
      <c r="N17" s="7"/>
      <c r="O17" s="7"/>
      <c r="P17" s="7"/>
    </row>
    <row r="18" spans="1:16" s="1" customFormat="1" ht="11.25" customHeight="1">
      <c r="A18" s="299"/>
      <c r="B18" s="242"/>
      <c r="C18" s="242"/>
      <c r="D18" s="242"/>
      <c r="E18" s="242"/>
      <c r="F18" s="242"/>
      <c r="G18" s="242"/>
      <c r="H18" s="242"/>
      <c r="I18" s="242"/>
      <c r="J18" s="242"/>
      <c r="K18" s="242"/>
      <c r="L18" s="243"/>
      <c r="M18" s="7"/>
      <c r="N18" s="7"/>
      <c r="O18" s="7"/>
      <c r="P18" s="7"/>
    </row>
    <row r="19" spans="1:16" s="1" customFormat="1" ht="14.1" customHeight="1">
      <c r="A19" s="299" t="s">
        <v>139</v>
      </c>
      <c r="B19" s="298" t="s">
        <v>325</v>
      </c>
      <c r="C19" s="242"/>
      <c r="D19" s="242"/>
      <c r="E19" s="242"/>
      <c r="F19" s="242"/>
      <c r="G19" s="242"/>
      <c r="H19" s="242"/>
      <c r="I19" s="242"/>
      <c r="J19" s="242"/>
      <c r="K19" s="242"/>
      <c r="L19" s="264"/>
      <c r="M19" s="7"/>
      <c r="N19" s="7"/>
      <c r="O19" s="7"/>
      <c r="P19" s="7"/>
    </row>
    <row r="20" spans="1:16" s="1" customFormat="1" ht="8.25" customHeight="1">
      <c r="A20" s="299"/>
      <c r="B20" s="242"/>
      <c r="C20" s="242"/>
      <c r="D20" s="242"/>
      <c r="E20" s="242"/>
      <c r="F20" s="242"/>
      <c r="G20" s="242"/>
      <c r="H20" s="242"/>
      <c r="I20" s="242"/>
      <c r="J20" s="242"/>
      <c r="K20" s="242"/>
      <c r="L20" s="264"/>
      <c r="M20" s="7"/>
      <c r="N20" s="7"/>
      <c r="O20" s="7"/>
      <c r="P20" s="7"/>
    </row>
    <row r="21" spans="1:16" s="1" customFormat="1" ht="14.1" customHeight="1">
      <c r="A21" s="299"/>
      <c r="B21" s="247">
        <v>7</v>
      </c>
      <c r="C21" s="242" t="s">
        <v>128</v>
      </c>
      <c r="D21" s="242"/>
      <c r="E21" s="242"/>
      <c r="F21" s="242"/>
      <c r="G21" s="242"/>
      <c r="H21" s="242"/>
      <c r="I21" s="242"/>
      <c r="J21" s="242"/>
      <c r="K21" s="242"/>
      <c r="L21" s="264"/>
      <c r="M21" s="7"/>
      <c r="N21" s="7"/>
      <c r="O21" s="7"/>
      <c r="P21" s="7"/>
    </row>
    <row r="22" spans="1:16" s="1" customFormat="1" ht="8.25" customHeight="1">
      <c r="A22" s="299"/>
      <c r="B22" s="242"/>
      <c r="C22" s="242"/>
      <c r="D22" s="242"/>
      <c r="E22" s="242"/>
      <c r="F22" s="242"/>
      <c r="G22" s="242"/>
      <c r="H22" s="242"/>
      <c r="I22" s="242"/>
      <c r="J22" s="242"/>
      <c r="K22" s="242"/>
      <c r="L22" s="264"/>
      <c r="M22" s="7"/>
      <c r="N22" s="7"/>
      <c r="O22" s="7"/>
      <c r="P22" s="7"/>
    </row>
    <row r="23" spans="1:16" s="1" customFormat="1" ht="15.75" customHeight="1">
      <c r="A23" s="299" t="s">
        <v>133</v>
      </c>
      <c r="B23" s="298" t="s">
        <v>635</v>
      </c>
      <c r="C23" s="242"/>
      <c r="D23" s="242"/>
      <c r="E23" s="242"/>
      <c r="F23" s="242"/>
      <c r="G23" s="242"/>
      <c r="H23" s="242"/>
      <c r="I23" s="242"/>
      <c r="J23" s="242"/>
      <c r="K23" s="242"/>
      <c r="L23" s="264"/>
      <c r="M23" s="7"/>
      <c r="N23" s="7"/>
      <c r="O23" s="7"/>
      <c r="P23" s="7"/>
    </row>
    <row r="24" spans="1:16" s="1" customFormat="1" ht="9" customHeight="1">
      <c r="A24" s="299"/>
      <c r="B24" s="242"/>
      <c r="C24" s="242"/>
      <c r="D24" s="242"/>
      <c r="E24" s="242"/>
      <c r="F24" s="242"/>
      <c r="G24" s="242"/>
      <c r="H24" s="242"/>
      <c r="I24" s="242"/>
      <c r="J24" s="242"/>
      <c r="K24" s="242"/>
      <c r="L24" s="264"/>
      <c r="M24" s="7"/>
      <c r="N24" s="7"/>
      <c r="O24" s="7"/>
      <c r="P24" s="7"/>
    </row>
    <row r="25" spans="1:16" s="1" customFormat="1" ht="14.1" customHeight="1">
      <c r="A25" s="299"/>
      <c r="B25" s="247">
        <v>5</v>
      </c>
      <c r="C25" s="242" t="s">
        <v>128</v>
      </c>
      <c r="D25" s="242"/>
      <c r="E25" s="242"/>
      <c r="F25" s="242"/>
      <c r="G25" s="242"/>
      <c r="H25" s="242"/>
      <c r="I25" s="264"/>
      <c r="J25" s="264"/>
      <c r="K25" s="264"/>
      <c r="L25" s="264"/>
      <c r="M25" s="7"/>
      <c r="N25" s="7"/>
      <c r="O25" s="7"/>
      <c r="P25" s="7"/>
    </row>
    <row r="26" spans="1:16" s="1" customFormat="1" ht="9.75" customHeight="1">
      <c r="A26" s="299"/>
      <c r="B26" s="242"/>
      <c r="C26" s="242"/>
      <c r="D26" s="242"/>
      <c r="E26" s="242"/>
      <c r="F26" s="242"/>
      <c r="G26" s="242"/>
      <c r="H26" s="242"/>
      <c r="I26" s="264"/>
      <c r="J26" s="264"/>
      <c r="K26" s="264"/>
      <c r="L26" s="264"/>
      <c r="M26" s="7"/>
      <c r="N26" s="7"/>
      <c r="O26" s="7"/>
      <c r="P26" s="7"/>
    </row>
    <row r="27" spans="1:16" s="1" customFormat="1" ht="14.1" customHeight="1">
      <c r="A27" s="299" t="s">
        <v>324</v>
      </c>
      <c r="B27" s="298" t="s">
        <v>323</v>
      </c>
      <c r="C27" s="242"/>
      <c r="D27" s="242"/>
      <c r="E27" s="242"/>
      <c r="F27" s="242"/>
      <c r="G27" s="242"/>
      <c r="H27" s="242"/>
      <c r="I27" s="264"/>
      <c r="J27" s="264"/>
      <c r="K27" s="264"/>
      <c r="L27" s="264"/>
      <c r="M27" s="7"/>
      <c r="N27" s="7"/>
      <c r="O27" s="7"/>
      <c r="P27" s="7"/>
    </row>
    <row r="28" spans="1:16" s="1" customFormat="1" ht="8.25" customHeight="1">
      <c r="A28" s="299"/>
      <c r="B28" s="242"/>
      <c r="C28" s="242"/>
      <c r="D28" s="242"/>
      <c r="E28" s="242"/>
      <c r="F28" s="242"/>
      <c r="G28" s="242"/>
      <c r="H28" s="242"/>
      <c r="I28" s="264"/>
      <c r="J28" s="264"/>
      <c r="K28" s="264"/>
      <c r="L28" s="264"/>
      <c r="M28" s="7"/>
      <c r="N28" s="7"/>
      <c r="O28" s="7"/>
      <c r="P28" s="7"/>
    </row>
    <row r="29" spans="1:16" s="1" customFormat="1" ht="16.5" customHeight="1">
      <c r="A29" s="299"/>
      <c r="B29" s="242" t="s">
        <v>322</v>
      </c>
      <c r="C29" s="242"/>
      <c r="D29" s="375">
        <f>IF(ISBLANK('PresDist '!E69),'PresDist '!F75,'PresDist '!E69)</f>
        <v>2</v>
      </c>
      <c r="E29" s="242" t="s">
        <v>5</v>
      </c>
      <c r="F29" s="242"/>
      <c r="G29" s="242"/>
      <c r="H29" s="242"/>
      <c r="I29" s="242"/>
      <c r="J29" s="242"/>
      <c r="K29" s="242"/>
      <c r="L29" s="264"/>
      <c r="M29" s="7"/>
      <c r="N29" s="7"/>
      <c r="O29" s="7"/>
      <c r="P29" s="7"/>
    </row>
    <row r="30" spans="1:16" s="1" customFormat="1" ht="6.75" customHeight="1">
      <c r="A30" s="299"/>
      <c r="B30" s="242"/>
      <c r="C30" s="242"/>
      <c r="D30" s="245"/>
      <c r="E30" s="242"/>
      <c r="F30" s="242"/>
      <c r="G30" s="242"/>
      <c r="H30" s="242"/>
      <c r="I30" s="242"/>
      <c r="J30" s="242"/>
      <c r="K30" s="242"/>
      <c r="L30" s="264"/>
      <c r="M30" s="7"/>
      <c r="N30" s="7"/>
      <c r="O30" s="7"/>
      <c r="P30" s="7"/>
    </row>
    <row r="31" spans="1:16" s="1" customFormat="1" ht="14.1" customHeight="1">
      <c r="A31" s="299"/>
      <c r="B31" s="242" t="s">
        <v>321</v>
      </c>
      <c r="C31" s="242"/>
      <c r="D31" s="242"/>
      <c r="E31" s="242"/>
      <c r="F31" s="242"/>
      <c r="G31" s="242"/>
      <c r="H31" s="242"/>
      <c r="I31" s="242"/>
      <c r="J31" s="242"/>
      <c r="K31" s="242"/>
      <c r="L31" s="264"/>
      <c r="M31" s="7"/>
      <c r="N31" s="7"/>
      <c r="O31" s="7"/>
      <c r="P31" s="7"/>
    </row>
    <row r="32" spans="1:16" s="1" customFormat="1" ht="14.1" customHeight="1">
      <c r="A32" s="299"/>
      <c r="B32" s="242" t="s">
        <v>320</v>
      </c>
      <c r="C32" s="242"/>
      <c r="D32" s="242"/>
      <c r="E32" s="242"/>
      <c r="F32" s="242"/>
      <c r="G32" s="242"/>
      <c r="H32" s="242"/>
      <c r="I32" s="264"/>
      <c r="J32" s="264"/>
      <c r="K32" s="264"/>
      <c r="L32" s="264"/>
      <c r="M32" s="7"/>
      <c r="N32" s="7"/>
      <c r="O32" s="7"/>
      <c r="P32" s="7"/>
    </row>
    <row r="33" spans="1:16" s="1" customFormat="1" ht="8.25" customHeight="1">
      <c r="A33" s="299"/>
      <c r="B33" s="242"/>
      <c r="C33" s="242"/>
      <c r="D33" s="242"/>
      <c r="E33" s="242"/>
      <c r="F33" s="242"/>
      <c r="G33" s="242"/>
      <c r="H33" s="242"/>
      <c r="I33" s="264"/>
      <c r="J33" s="264"/>
      <c r="K33" s="264"/>
      <c r="L33" s="264"/>
      <c r="M33" s="7"/>
      <c r="N33" s="7"/>
      <c r="O33" s="7"/>
      <c r="P33" s="7"/>
    </row>
    <row r="34" spans="1:16" s="1" customFormat="1" ht="18" customHeight="1">
      <c r="A34" s="299"/>
      <c r="B34" s="249" t="s">
        <v>319</v>
      </c>
      <c r="C34" s="247">
        <v>1.55</v>
      </c>
      <c r="D34" s="242" t="s">
        <v>673</v>
      </c>
      <c r="E34" s="242"/>
      <c r="F34" s="242"/>
      <c r="G34" s="242"/>
      <c r="H34" s="242"/>
      <c r="I34" s="264"/>
      <c r="J34" s="264"/>
      <c r="K34" s="264"/>
      <c r="L34" s="264"/>
      <c r="M34" s="7"/>
      <c r="N34" s="7"/>
      <c r="O34" s="7"/>
      <c r="P34" s="7"/>
    </row>
    <row r="35" spans="1:16" s="1" customFormat="1" ht="11.25" customHeight="1">
      <c r="A35" s="299"/>
      <c r="B35" s="249"/>
      <c r="C35" s="245"/>
      <c r="D35" s="242"/>
      <c r="E35" s="242"/>
      <c r="F35" s="242"/>
      <c r="G35" s="242"/>
      <c r="H35" s="242"/>
      <c r="I35" s="264"/>
      <c r="J35" s="264"/>
      <c r="K35" s="264"/>
      <c r="L35" s="264"/>
    </row>
    <row r="36" spans="1:16" s="1" customFormat="1" ht="20.25" customHeight="1">
      <c r="A36" s="836" t="s">
        <v>636</v>
      </c>
      <c r="B36" s="837"/>
      <c r="C36" s="837"/>
      <c r="D36" s="837"/>
      <c r="E36" s="837"/>
      <c r="F36" s="837"/>
      <c r="G36" s="837"/>
      <c r="H36" s="837"/>
      <c r="I36" s="837"/>
      <c r="J36" s="292"/>
      <c r="K36" s="264"/>
      <c r="L36" s="264"/>
    </row>
    <row r="37" spans="1:16" s="1" customFormat="1" ht="14.1" customHeight="1">
      <c r="A37" s="299"/>
      <c r="B37" s="242"/>
      <c r="C37" s="242"/>
      <c r="D37" s="242"/>
      <c r="E37" s="242"/>
      <c r="F37" s="242"/>
      <c r="G37" s="242"/>
      <c r="H37" s="242"/>
      <c r="I37" s="264"/>
      <c r="J37" s="264"/>
      <c r="K37" s="264"/>
      <c r="L37" s="264"/>
    </row>
    <row r="38" spans="1:16" s="1" customFormat="1" ht="14.1" customHeight="1">
      <c r="A38" s="299"/>
      <c r="B38" s="253" t="s">
        <v>318</v>
      </c>
      <c r="C38" s="253"/>
      <c r="D38" s="253"/>
      <c r="E38" s="253"/>
      <c r="F38" s="253"/>
      <c r="G38" s="242"/>
      <c r="H38" s="242"/>
      <c r="I38" s="264"/>
      <c r="J38" s="264"/>
      <c r="K38" s="264"/>
      <c r="L38" s="264"/>
    </row>
    <row r="39" spans="1:16" s="1" customFormat="1" ht="14.1" customHeight="1">
      <c r="A39" s="299"/>
      <c r="B39" s="253" t="s">
        <v>317</v>
      </c>
      <c r="C39" s="253"/>
      <c r="D39" s="253"/>
      <c r="E39" s="253"/>
      <c r="F39" s="253"/>
      <c r="G39" s="242"/>
      <c r="H39" s="242"/>
      <c r="I39" s="264"/>
      <c r="J39" s="264"/>
      <c r="K39" s="264"/>
      <c r="L39" s="264"/>
    </row>
    <row r="40" spans="1:16" s="1" customFormat="1" ht="14.1" customHeight="1" thickBot="1">
      <c r="A40" s="299"/>
      <c r="B40" s="242"/>
      <c r="C40" s="242"/>
      <c r="D40" s="242"/>
      <c r="E40" s="242"/>
      <c r="F40" s="242"/>
      <c r="G40" s="242"/>
      <c r="H40" s="242"/>
      <c r="I40" s="264"/>
      <c r="J40" s="264"/>
      <c r="K40" s="264"/>
      <c r="L40" s="264"/>
    </row>
    <row r="41" spans="1:16" s="1" customFormat="1" ht="16.5" thickBot="1">
      <c r="A41" s="299"/>
      <c r="B41" s="247">
        <v>35</v>
      </c>
      <c r="C41" s="242" t="s">
        <v>316</v>
      </c>
      <c r="D41" s="304">
        <f>B41*1.25</f>
        <v>43.75</v>
      </c>
      <c r="E41" s="242" t="s">
        <v>128</v>
      </c>
      <c r="F41" s="242"/>
      <c r="G41" s="242"/>
      <c r="H41" s="242"/>
      <c r="I41" s="264"/>
      <c r="J41" s="264"/>
      <c r="K41" s="264"/>
      <c r="L41" s="264"/>
    </row>
    <row r="42" spans="1:16" s="1" customFormat="1" ht="15.75" customHeight="1">
      <c r="A42" s="299"/>
      <c r="B42" s="259" t="s">
        <v>526</v>
      </c>
      <c r="C42" s="242"/>
      <c r="D42" s="245"/>
      <c r="E42" s="242"/>
      <c r="F42" s="242"/>
      <c r="G42" s="242"/>
      <c r="H42" s="242"/>
      <c r="I42" s="264"/>
      <c r="J42" s="264"/>
      <c r="K42" s="264"/>
      <c r="L42" s="264"/>
    </row>
    <row r="43" spans="1:16" s="1" customFormat="1" ht="14.1" customHeight="1">
      <c r="A43" s="299"/>
      <c r="B43" s="242"/>
      <c r="C43" s="242"/>
      <c r="D43" s="242"/>
      <c r="E43" s="242"/>
      <c r="F43" s="242"/>
      <c r="G43" s="242"/>
      <c r="H43" s="242"/>
      <c r="I43" s="264"/>
      <c r="J43" s="264"/>
      <c r="K43" s="264"/>
      <c r="L43" s="264"/>
    </row>
    <row r="44" spans="1:16" s="1" customFormat="1" ht="20.25" customHeight="1">
      <c r="A44" s="384" t="s">
        <v>637</v>
      </c>
      <c r="B44" s="385"/>
      <c r="C44" s="382"/>
      <c r="D44" s="382"/>
      <c r="E44" s="382"/>
      <c r="F44" s="382"/>
      <c r="G44" s="382"/>
      <c r="H44" s="382"/>
      <c r="I44" s="382"/>
      <c r="J44" s="383"/>
      <c r="K44" s="264"/>
      <c r="L44" s="264"/>
    </row>
    <row r="45" spans="1:16" s="1" customFormat="1" ht="9" customHeight="1">
      <c r="A45" s="299"/>
      <c r="B45" s="242"/>
      <c r="C45" s="242"/>
      <c r="D45" s="242"/>
      <c r="E45" s="242"/>
      <c r="F45" s="242"/>
      <c r="G45" s="242"/>
      <c r="H45" s="242"/>
      <c r="I45" s="264"/>
      <c r="J45" s="264"/>
      <c r="K45" s="264"/>
      <c r="L45" s="264"/>
    </row>
    <row r="46" spans="1:16" s="1" customFormat="1" ht="14.1" customHeight="1">
      <c r="A46" s="299"/>
      <c r="B46" s="242" t="s">
        <v>638</v>
      </c>
      <c r="C46" s="242"/>
      <c r="D46" s="242"/>
      <c r="E46" s="242"/>
      <c r="F46" s="242"/>
      <c r="G46" s="242"/>
      <c r="H46" s="242"/>
      <c r="I46" s="264"/>
      <c r="J46" s="264"/>
      <c r="K46" s="264"/>
      <c r="L46" s="264"/>
    </row>
    <row r="47" spans="1:16" s="1" customFormat="1" ht="9.75" customHeight="1" thickBot="1">
      <c r="A47" s="299"/>
      <c r="B47" s="242"/>
      <c r="C47" s="242"/>
      <c r="D47" s="242"/>
      <c r="E47" s="242"/>
      <c r="F47" s="242"/>
      <c r="G47" s="242"/>
      <c r="H47" s="242"/>
      <c r="I47" s="264"/>
      <c r="J47" s="264"/>
      <c r="K47" s="264"/>
      <c r="L47" s="264"/>
    </row>
    <row r="48" spans="1:16" s="1" customFormat="1" ht="15.75" thickBot="1">
      <c r="A48" s="299"/>
      <c r="B48" s="242" t="s">
        <v>315</v>
      </c>
      <c r="C48" s="306">
        <f>C34</f>
        <v>1.55</v>
      </c>
      <c r="D48" s="243" t="s">
        <v>314</v>
      </c>
      <c r="E48" s="306">
        <f>D41</f>
        <v>43.75</v>
      </c>
      <c r="F48" s="242" t="s">
        <v>313</v>
      </c>
      <c r="G48" s="347">
        <f>C48*E48/100</f>
        <v>0.67812499999999998</v>
      </c>
      <c r="H48" s="242" t="s">
        <v>128</v>
      </c>
      <c r="I48" s="264"/>
      <c r="J48" s="264"/>
      <c r="K48" s="264"/>
      <c r="L48" s="264"/>
    </row>
    <row r="49" spans="1:15" s="1" customFormat="1" ht="9" customHeight="1">
      <c r="A49" s="299"/>
      <c r="B49" s="242"/>
      <c r="C49" s="242"/>
      <c r="D49" s="242"/>
      <c r="E49" s="242"/>
      <c r="F49" s="242"/>
      <c r="G49" s="242"/>
      <c r="H49" s="242"/>
      <c r="I49" s="264"/>
      <c r="J49" s="264"/>
      <c r="K49" s="264"/>
      <c r="L49" s="264"/>
    </row>
    <row r="50" spans="1:15" s="1" customFormat="1" ht="20.25" customHeight="1">
      <c r="A50" s="349" t="s">
        <v>123</v>
      </c>
      <c r="B50" s="350" t="s">
        <v>639</v>
      </c>
      <c r="C50" s="350"/>
      <c r="D50" s="350"/>
      <c r="E50" s="350"/>
      <c r="F50" s="350"/>
      <c r="G50" s="350"/>
      <c r="H50" s="350"/>
      <c r="I50" s="291"/>
      <c r="J50" s="294"/>
      <c r="K50" s="264"/>
      <c r="L50" s="264"/>
    </row>
    <row r="51" spans="1:15" s="1" customFormat="1" ht="8.25" customHeight="1">
      <c r="A51" s="264"/>
      <c r="B51" s="264"/>
      <c r="C51" s="264"/>
      <c r="D51" s="264"/>
      <c r="E51" s="264"/>
      <c r="F51" s="264"/>
      <c r="G51" s="264"/>
      <c r="H51" s="264"/>
      <c r="I51" s="264"/>
      <c r="J51" s="264"/>
      <c r="K51" s="264"/>
      <c r="L51" s="264"/>
    </row>
    <row r="52" spans="1:15" s="1" customFormat="1" ht="15.75">
      <c r="A52" s="386"/>
      <c r="B52" s="387" t="s">
        <v>640</v>
      </c>
      <c r="C52" s="387"/>
      <c r="D52" s="387"/>
      <c r="E52" s="387"/>
      <c r="F52" s="387"/>
      <c r="G52" s="387"/>
      <c r="H52" s="387"/>
      <c r="I52" s="388"/>
      <c r="J52" s="388"/>
      <c r="K52" s="264"/>
      <c r="L52" s="264"/>
    </row>
    <row r="53" spans="1:15" s="1" customFormat="1" ht="6" customHeight="1">
      <c r="A53" s="299"/>
      <c r="B53" s="242"/>
      <c r="C53" s="242"/>
      <c r="D53" s="242"/>
      <c r="E53" s="242"/>
      <c r="F53" s="242"/>
      <c r="G53" s="242"/>
      <c r="H53" s="242"/>
      <c r="I53" s="264"/>
      <c r="J53" s="264"/>
      <c r="K53" s="264"/>
      <c r="L53" s="264"/>
    </row>
    <row r="54" spans="1:15" s="1" customFormat="1" ht="14.1" customHeight="1">
      <c r="A54" s="299"/>
      <c r="B54" s="306">
        <f>B21</f>
        <v>7</v>
      </c>
      <c r="C54" s="243" t="s">
        <v>312</v>
      </c>
      <c r="D54" s="306">
        <f>B25</f>
        <v>5</v>
      </c>
      <c r="E54" s="243" t="s">
        <v>231</v>
      </c>
      <c r="F54" s="309">
        <f>G48</f>
        <v>0.67812499999999998</v>
      </c>
      <c r="G54" s="242" t="s">
        <v>26</v>
      </c>
      <c r="H54" s="244"/>
      <c r="I54" s="264"/>
      <c r="J54" s="264"/>
      <c r="K54" s="264"/>
      <c r="L54" s="264"/>
    </row>
    <row r="55" spans="1:15" s="1" customFormat="1" ht="9" customHeight="1" thickBot="1">
      <c r="A55" s="299"/>
      <c r="B55" s="242"/>
      <c r="C55" s="242"/>
      <c r="D55" s="242"/>
      <c r="E55" s="242"/>
      <c r="F55" s="242"/>
      <c r="G55" s="242"/>
      <c r="H55" s="242"/>
      <c r="I55" s="264"/>
      <c r="J55" s="264"/>
      <c r="K55" s="264"/>
      <c r="L55" s="264"/>
    </row>
    <row r="56" spans="1:15" ht="14.25" customHeight="1" thickBot="1">
      <c r="A56" s="299"/>
      <c r="B56" s="298" t="s">
        <v>311</v>
      </c>
      <c r="C56" s="244"/>
      <c r="D56" s="315">
        <f>B54+D54+F54</f>
        <v>12.678125</v>
      </c>
      <c r="E56" s="242" t="s">
        <v>128</v>
      </c>
      <c r="F56" s="242"/>
      <c r="G56" s="242"/>
      <c r="H56" s="242"/>
      <c r="I56" s="243"/>
      <c r="J56" s="242"/>
      <c r="K56" s="243"/>
      <c r="L56" s="243"/>
      <c r="M56" s="68"/>
      <c r="N56" s="68"/>
      <c r="O56" s="68"/>
    </row>
    <row r="57" spans="1:15" s="1" customFormat="1" ht="10.5" customHeight="1">
      <c r="A57" s="299"/>
      <c r="B57" s="242"/>
      <c r="C57" s="242"/>
      <c r="D57" s="242"/>
      <c r="E57" s="242"/>
      <c r="F57" s="242"/>
      <c r="G57" s="242"/>
      <c r="H57" s="242"/>
      <c r="I57" s="242"/>
      <c r="J57" s="242"/>
      <c r="K57" s="242"/>
      <c r="L57" s="243"/>
      <c r="M57" s="68"/>
      <c r="N57" s="68"/>
      <c r="O57" s="68"/>
    </row>
    <row r="58" spans="1:15" s="1" customFormat="1" ht="20.25" customHeight="1">
      <c r="A58" s="349" t="s">
        <v>214</v>
      </c>
      <c r="B58" s="350" t="s">
        <v>310</v>
      </c>
      <c r="C58" s="353"/>
      <c r="D58" s="353"/>
      <c r="E58" s="353"/>
      <c r="F58" s="353"/>
      <c r="G58" s="353"/>
      <c r="H58" s="353"/>
      <c r="I58" s="353"/>
      <c r="J58" s="355"/>
      <c r="K58" s="242"/>
      <c r="L58" s="243"/>
      <c r="M58" s="68"/>
      <c r="N58" s="68"/>
      <c r="O58" s="68"/>
    </row>
    <row r="59" spans="1:15" s="1" customFormat="1" ht="14.1" customHeight="1">
      <c r="A59" s="299"/>
      <c r="B59" s="242"/>
      <c r="C59" s="242"/>
      <c r="D59" s="242"/>
      <c r="E59" s="242"/>
      <c r="F59" s="242"/>
      <c r="G59" s="242"/>
      <c r="H59" s="242"/>
      <c r="I59" s="242"/>
      <c r="J59" s="242"/>
      <c r="K59" s="242"/>
      <c r="L59" s="243"/>
      <c r="M59" s="68"/>
      <c r="N59" s="68"/>
      <c r="O59" s="68"/>
    </row>
    <row r="60" spans="1:15" ht="14.1" customHeight="1" thickBot="1">
      <c r="A60" s="18"/>
      <c r="C60" s="298"/>
      <c r="D60" s="242"/>
      <c r="E60" s="242"/>
      <c r="F60" s="242"/>
      <c r="G60" s="242"/>
      <c r="H60" s="242"/>
      <c r="I60" s="242"/>
      <c r="J60" s="242"/>
      <c r="K60" s="242"/>
      <c r="L60" s="243"/>
      <c r="M60" s="68"/>
      <c r="N60" s="68"/>
      <c r="O60" s="68"/>
    </row>
    <row r="61" spans="1:15" s="1" customFormat="1" ht="13.5" customHeight="1">
      <c r="A61" s="299"/>
      <c r="B61" s="376" t="s">
        <v>309</v>
      </c>
      <c r="C61" s="377"/>
      <c r="D61" s="377"/>
      <c r="E61" s="377"/>
      <c r="F61" s="595">
        <f>E15</f>
        <v>38.479999999999997</v>
      </c>
      <c r="G61" s="377" t="s">
        <v>308</v>
      </c>
      <c r="H61" s="378"/>
      <c r="I61" s="242"/>
      <c r="J61" s="242"/>
      <c r="K61" s="242"/>
      <c r="L61" s="243"/>
      <c r="M61" s="68"/>
      <c r="N61" s="68"/>
      <c r="O61" s="68"/>
    </row>
    <row r="62" spans="1:15" s="1" customFormat="1" ht="15.75" customHeight="1" thickBot="1">
      <c r="A62" s="299"/>
      <c r="B62" s="379" t="s">
        <v>307</v>
      </c>
      <c r="C62" s="380">
        <f>D56</f>
        <v>12.678125</v>
      </c>
      <c r="D62" s="327" t="s">
        <v>306</v>
      </c>
      <c r="E62" s="327"/>
      <c r="F62" s="327"/>
      <c r="G62" s="327"/>
      <c r="H62" s="381"/>
      <c r="I62" s="242"/>
      <c r="J62" s="242"/>
      <c r="K62" s="242"/>
      <c r="L62" s="243"/>
      <c r="M62" s="68"/>
      <c r="N62" s="68"/>
      <c r="O62" s="68"/>
    </row>
    <row r="63" spans="1:15" s="1" customFormat="1" ht="14.1" customHeight="1">
      <c r="A63" s="299"/>
      <c r="B63" s="242"/>
      <c r="C63" s="242"/>
      <c r="D63" s="242"/>
      <c r="E63" s="242"/>
      <c r="F63" s="242"/>
      <c r="G63" s="242"/>
      <c r="H63" s="242"/>
      <c r="I63" s="242"/>
      <c r="J63" s="242"/>
      <c r="K63" s="242"/>
      <c r="L63" s="243"/>
      <c r="M63" s="68"/>
      <c r="N63" s="68"/>
      <c r="O63" s="68"/>
    </row>
    <row r="64" spans="1:15" s="1" customFormat="1" ht="15" customHeight="1">
      <c r="A64" s="299"/>
      <c r="B64" s="242"/>
      <c r="C64" s="242"/>
      <c r="D64" s="242"/>
      <c r="E64" s="242"/>
      <c r="F64" s="242"/>
      <c r="G64" s="242"/>
      <c r="H64" s="242"/>
      <c r="I64" s="242"/>
      <c r="J64" s="242"/>
      <c r="K64" s="242"/>
      <c r="L64" s="245"/>
      <c r="M64" s="68"/>
      <c r="N64" s="68"/>
      <c r="O64" s="68"/>
    </row>
    <row r="65" spans="1:15" s="1" customFormat="1" ht="15.75">
      <c r="A65" s="299"/>
      <c r="B65" s="242"/>
      <c r="C65" s="242"/>
      <c r="D65" s="242"/>
      <c r="E65" s="242"/>
      <c r="F65" s="242"/>
      <c r="G65" s="242"/>
      <c r="H65" s="242"/>
      <c r="I65" s="242"/>
      <c r="J65" s="242"/>
      <c r="K65" s="242"/>
      <c r="L65" s="245"/>
      <c r="M65" s="68"/>
      <c r="N65" s="68"/>
      <c r="O65" s="68"/>
    </row>
    <row r="66" spans="1:15" s="1" customFormat="1" ht="15.75">
      <c r="A66" s="299"/>
      <c r="B66" s="242"/>
      <c r="C66" s="242"/>
      <c r="D66" s="242"/>
      <c r="E66" s="242"/>
      <c r="F66" s="242"/>
      <c r="G66" s="242"/>
      <c r="H66" s="242"/>
      <c r="I66" s="242"/>
      <c r="J66" s="242"/>
      <c r="K66" s="242"/>
      <c r="L66" s="264"/>
      <c r="M66" s="68"/>
      <c r="N66" s="68"/>
      <c r="O66" s="68"/>
    </row>
    <row r="67" spans="1:15" ht="14.1" customHeight="1">
      <c r="A67" s="299"/>
      <c r="B67" s="242"/>
      <c r="C67" s="242"/>
      <c r="D67" s="242"/>
      <c r="E67" s="242"/>
      <c r="F67" s="242"/>
      <c r="G67" s="242"/>
      <c r="H67" s="242"/>
      <c r="I67" s="242"/>
      <c r="J67" s="242"/>
      <c r="K67" s="242"/>
      <c r="L67" s="245"/>
      <c r="M67" s="68"/>
      <c r="N67" s="68"/>
      <c r="O67" s="68"/>
    </row>
    <row r="68" spans="1:15" ht="14.1" customHeight="1">
      <c r="A68" s="299"/>
      <c r="B68" s="242"/>
      <c r="C68" s="242"/>
      <c r="D68" s="242"/>
      <c r="E68" s="242"/>
      <c r="F68" s="242"/>
      <c r="G68" s="242"/>
      <c r="H68" s="242"/>
      <c r="I68" s="242"/>
      <c r="J68" s="242"/>
      <c r="K68" s="242"/>
      <c r="L68" s="243"/>
      <c r="M68" s="68"/>
      <c r="N68" s="68"/>
      <c r="O68" s="68"/>
    </row>
    <row r="69" spans="1:15" ht="14.1" customHeight="1">
      <c r="A69" s="299"/>
      <c r="B69" s="242"/>
      <c r="C69" s="242"/>
      <c r="D69" s="242"/>
      <c r="E69" s="242"/>
      <c r="F69" s="242"/>
      <c r="G69" s="242"/>
      <c r="H69" s="242"/>
      <c r="I69" s="242"/>
      <c r="J69" s="242"/>
      <c r="K69" s="242"/>
      <c r="L69" s="243"/>
    </row>
    <row r="70" spans="1:15" ht="14.1" customHeight="1">
      <c r="A70" s="299"/>
      <c r="B70" s="242"/>
      <c r="C70" s="242"/>
      <c r="D70" s="242"/>
      <c r="E70" s="242"/>
      <c r="F70" s="242"/>
      <c r="G70" s="242"/>
      <c r="H70" s="242"/>
      <c r="I70" s="242"/>
      <c r="J70" s="242"/>
      <c r="K70" s="242"/>
      <c r="L70" s="243"/>
    </row>
    <row r="71" spans="1:15" ht="14.1" customHeight="1">
      <c r="A71" s="299"/>
      <c r="B71" s="242"/>
      <c r="C71" s="242"/>
      <c r="D71" s="242"/>
      <c r="E71" s="242"/>
      <c r="F71" s="242"/>
      <c r="G71" s="242"/>
      <c r="H71" s="242"/>
      <c r="I71" s="242"/>
      <c r="J71" s="242"/>
      <c r="K71" s="242"/>
      <c r="L71" s="243"/>
    </row>
    <row r="72" spans="1:15" ht="14.1" customHeight="1">
      <c r="A72" s="299"/>
      <c r="B72" s="242"/>
      <c r="C72" s="242"/>
      <c r="D72" s="242"/>
      <c r="E72" s="242"/>
      <c r="F72" s="242"/>
      <c r="G72" s="242"/>
      <c r="H72" s="242"/>
      <c r="I72" s="242"/>
      <c r="J72" s="242"/>
      <c r="K72" s="242"/>
      <c r="L72" s="243"/>
    </row>
    <row r="73" spans="1:15" ht="14.1" customHeight="1">
      <c r="A73" s="299"/>
      <c r="B73" s="242"/>
      <c r="C73" s="242"/>
      <c r="D73" s="242"/>
      <c r="E73" s="242"/>
      <c r="F73" s="242"/>
      <c r="G73" s="242"/>
      <c r="H73" s="242"/>
      <c r="I73" s="242"/>
      <c r="J73" s="242"/>
      <c r="K73" s="242"/>
      <c r="L73" s="243"/>
    </row>
    <row r="74" spans="1:15" ht="14.1" customHeight="1">
      <c r="A74" s="299"/>
      <c r="B74" s="242"/>
      <c r="C74" s="242"/>
      <c r="D74" s="242"/>
      <c r="E74" s="242"/>
      <c r="F74" s="242"/>
      <c r="G74" s="242"/>
      <c r="H74" s="242"/>
      <c r="I74" s="242"/>
      <c r="J74" s="242"/>
      <c r="K74" s="242"/>
      <c r="L74" s="243"/>
    </row>
    <row r="75" spans="1:15" ht="14.1" customHeight="1">
      <c r="A75" s="299"/>
      <c r="B75" s="242"/>
      <c r="C75" s="242"/>
      <c r="D75" s="242"/>
      <c r="E75" s="242"/>
      <c r="F75" s="242"/>
      <c r="G75" s="242"/>
      <c r="H75" s="242"/>
      <c r="I75" s="242"/>
      <c r="J75" s="242"/>
      <c r="K75" s="242"/>
      <c r="L75" s="243"/>
    </row>
    <row r="76" spans="1:15" ht="14.1" customHeight="1">
      <c r="A76" s="299"/>
      <c r="B76" s="242"/>
      <c r="C76" s="242"/>
      <c r="D76" s="242"/>
      <c r="E76" s="242"/>
      <c r="F76" s="242"/>
      <c r="G76" s="242"/>
      <c r="H76" s="242"/>
      <c r="I76" s="242"/>
      <c r="J76" s="242"/>
      <c r="K76" s="242"/>
      <c r="L76" s="243"/>
    </row>
  </sheetData>
  <sheetProtection password="C420" sheet="1" objects="1" scenarios="1"/>
  <mergeCells count="4">
    <mergeCell ref="G1:J1"/>
    <mergeCell ref="A36:I36"/>
    <mergeCell ref="A1:E2"/>
    <mergeCell ref="G2:J2"/>
  </mergeCells>
  <dataValidations count="2">
    <dataValidation type="list" showInputMessage="1" showErrorMessage="1" sqref="B25">
      <formula1>headreq</formula1>
    </dataValidation>
    <dataValidation showInputMessage="1" showErrorMessage="1" sqref="D29"/>
  </dataValidations>
  <pageMargins left="0.75" right="0.25" top="0.5" bottom="0.5" header="0.5" footer="0.5"/>
  <pageSetup scale="90" orientation="portrait" horizontalDpi="300" verticalDpi="300" r:id="rId1"/>
  <headerFooter alignWithMargins="0">
    <oddFooter>&amp;RPage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8168889431442"/>
  </sheetPr>
  <dimension ref="A1:V246"/>
  <sheetViews>
    <sheetView showGridLines="0" topLeftCell="A37" zoomScale="90" zoomScaleNormal="90" zoomScaleSheetLayoutView="100" workbookViewId="0">
      <selection activeCell="R164" sqref="R164"/>
    </sheetView>
  </sheetViews>
  <sheetFormatPr defaultRowHeight="12.75"/>
  <cols>
    <col min="1" max="1" width="3.7109375" style="12" customWidth="1"/>
    <col min="2" max="2" width="8.42578125" style="9" customWidth="1"/>
    <col min="3" max="3" width="9.7109375" style="9" customWidth="1"/>
    <col min="4" max="4" width="9.85546875" style="11" customWidth="1"/>
    <col min="5" max="5" width="4" style="11" customWidth="1"/>
    <col min="6" max="6" width="7" style="9" customWidth="1"/>
    <col min="7" max="7" width="6.5703125" style="9" customWidth="1"/>
    <col min="8" max="8" width="9.28515625" style="9" customWidth="1"/>
    <col min="9" max="9" width="12.7109375" style="9" customWidth="1"/>
    <col min="10" max="10" width="7.28515625" style="9" customWidth="1"/>
    <col min="11" max="11" width="7" style="9" customWidth="1"/>
    <col min="12" max="12" width="9" style="9" customWidth="1"/>
    <col min="13" max="13" width="7.85546875" style="9" customWidth="1"/>
    <col min="14" max="14" width="7.5703125" style="9" customWidth="1"/>
    <col min="15" max="15" width="4" style="10" customWidth="1"/>
    <col min="16" max="16" width="1.42578125" style="9" customWidth="1"/>
    <col min="17" max="17" width="14.7109375" style="9" customWidth="1"/>
    <col min="18" max="18" width="24.5703125" style="9" bestFit="1" customWidth="1"/>
    <col min="19" max="16384" width="9.140625" style="9"/>
  </cols>
  <sheetData>
    <row r="1" spans="1:21" s="16" customFormat="1" ht="16.5" customHeight="1">
      <c r="A1" s="775" t="s">
        <v>669</v>
      </c>
      <c r="B1" s="776"/>
      <c r="C1" s="776"/>
      <c r="D1" s="776"/>
      <c r="E1" s="776"/>
      <c r="F1" s="776"/>
      <c r="G1" s="598"/>
      <c r="H1" s="421" t="s">
        <v>422</v>
      </c>
      <c r="I1" s="753">
        <f>Dosing!G1</f>
        <v>2345</v>
      </c>
      <c r="J1" s="753"/>
      <c r="K1" s="753"/>
      <c r="L1" s="753"/>
      <c r="M1" s="753"/>
      <c r="N1" s="607"/>
      <c r="O1" s="608"/>
      <c r="P1" s="14"/>
      <c r="Q1" s="14"/>
      <c r="R1" s="58"/>
      <c r="S1" s="58"/>
      <c r="T1" s="58"/>
      <c r="U1" s="58"/>
    </row>
    <row r="2" spans="1:21" s="16" customFormat="1" ht="14.25" customHeight="1">
      <c r="A2" s="777"/>
      <c r="B2" s="778"/>
      <c r="C2" s="778"/>
      <c r="D2" s="778"/>
      <c r="E2" s="778"/>
      <c r="F2" s="778"/>
      <c r="G2" s="599"/>
      <c r="H2" s="600" t="s">
        <v>803</v>
      </c>
      <c r="I2" s="751" t="str">
        <f>IF(ISBLANK('Site Evaluation'!B6),"",'Site Evaluation'!B6)</f>
        <v/>
      </c>
      <c r="J2" s="751"/>
      <c r="K2" s="751"/>
      <c r="L2" s="751"/>
      <c r="M2" s="751"/>
      <c r="N2" s="609"/>
      <c r="O2" s="610"/>
      <c r="P2" s="14"/>
      <c r="Q2" s="14"/>
      <c r="R2" s="58"/>
      <c r="S2" s="58"/>
      <c r="T2" s="58"/>
      <c r="U2" s="58"/>
    </row>
    <row r="3" spans="1:21">
      <c r="A3" s="452"/>
      <c r="B3" s="264"/>
      <c r="C3" s="264"/>
      <c r="D3" s="398"/>
      <c r="E3" s="14"/>
      <c r="F3" s="264"/>
      <c r="G3" s="264"/>
      <c r="H3" s="264"/>
      <c r="I3" s="264"/>
      <c r="J3" s="264"/>
      <c r="K3" s="264"/>
      <c r="L3" s="264"/>
      <c r="M3" s="264"/>
      <c r="N3" s="264"/>
      <c r="O3" s="256"/>
      <c r="P3" s="264"/>
      <c r="Q3" s="264"/>
      <c r="R3" s="53"/>
      <c r="S3" s="53"/>
      <c r="T3" s="53"/>
      <c r="U3" s="53"/>
    </row>
    <row r="4" spans="1:21" ht="9.75" customHeight="1">
      <c r="A4" s="452"/>
      <c r="B4" s="264"/>
      <c r="C4" s="264"/>
      <c r="D4" s="264"/>
      <c r="E4" s="398"/>
      <c r="F4" s="264"/>
      <c r="G4" s="264"/>
      <c r="H4" s="264"/>
      <c r="I4" s="264"/>
      <c r="J4" s="264"/>
      <c r="K4" s="264"/>
      <c r="L4" s="264"/>
      <c r="M4" s="264"/>
      <c r="N4" s="264"/>
      <c r="O4" s="256"/>
      <c r="P4" s="264"/>
      <c r="Q4" s="264"/>
      <c r="R4" s="53"/>
      <c r="S4" s="53"/>
      <c r="T4" s="53"/>
      <c r="U4" s="53"/>
    </row>
    <row r="5" spans="1:21" s="14" customFormat="1" ht="15.75">
      <c r="A5" s="400" t="s">
        <v>57</v>
      </c>
      <c r="B5" s="350" t="s">
        <v>237</v>
      </c>
      <c r="C5" s="350"/>
      <c r="D5" s="514"/>
      <c r="E5" s="514"/>
      <c r="F5" s="350"/>
      <c r="G5" s="350"/>
      <c r="H5" s="350"/>
      <c r="I5" s="350"/>
      <c r="J5" s="350"/>
      <c r="K5" s="350"/>
      <c r="L5" s="350"/>
      <c r="M5" s="350"/>
      <c r="N5" s="350"/>
      <c r="O5" s="351"/>
      <c r="R5" s="58"/>
      <c r="S5" s="58"/>
      <c r="T5" s="58"/>
      <c r="U5" s="58"/>
    </row>
    <row r="6" spans="1:21" s="14" customFormat="1" ht="18">
      <c r="A6" s="431"/>
      <c r="B6" s="16"/>
      <c r="D6" s="453"/>
      <c r="E6" s="453"/>
      <c r="O6" s="265"/>
      <c r="R6" s="58"/>
      <c r="S6" s="58"/>
      <c r="T6" s="58"/>
      <c r="U6" s="58"/>
    </row>
    <row r="7" spans="1:21">
      <c r="A7" s="452"/>
      <c r="B7" s="264"/>
      <c r="C7" s="414" t="s">
        <v>171</v>
      </c>
      <c r="D7" s="842" t="s">
        <v>236</v>
      </c>
      <c r="E7" s="843"/>
      <c r="F7" s="454"/>
      <c r="G7" s="264" t="s">
        <v>26</v>
      </c>
      <c r="H7" s="842" t="s">
        <v>235</v>
      </c>
      <c r="I7" s="843"/>
      <c r="J7" s="455"/>
      <c r="K7" s="264" t="s">
        <v>26</v>
      </c>
      <c r="L7" s="256"/>
      <c r="M7" s="256"/>
      <c r="N7" s="256"/>
      <c r="O7" s="256"/>
      <c r="P7" s="264"/>
      <c r="Q7" s="264"/>
      <c r="R7" s="53"/>
      <c r="S7" s="53"/>
      <c r="T7" s="53"/>
      <c r="U7" s="53"/>
    </row>
    <row r="8" spans="1:21">
      <c r="A8" s="452"/>
      <c r="B8" s="456"/>
      <c r="C8" s="457" t="s">
        <v>170</v>
      </c>
      <c r="D8" s="844" t="s">
        <v>236</v>
      </c>
      <c r="E8" s="845"/>
      <c r="F8" s="458"/>
      <c r="G8" s="456" t="s">
        <v>26</v>
      </c>
      <c r="H8" s="844" t="s">
        <v>235</v>
      </c>
      <c r="I8" s="845"/>
      <c r="J8" s="459"/>
      <c r="K8" s="456" t="s">
        <v>26</v>
      </c>
      <c r="L8" s="283"/>
      <c r="M8" s="256"/>
      <c r="N8" s="256"/>
      <c r="O8" s="256"/>
      <c r="P8" s="264"/>
      <c r="Q8" s="264"/>
      <c r="R8" s="53"/>
      <c r="S8" s="53"/>
      <c r="T8" s="53"/>
      <c r="U8" s="53"/>
    </row>
    <row r="9" spans="1:21">
      <c r="A9" s="452"/>
      <c r="B9" s="264"/>
      <c r="C9" s="414" t="s">
        <v>169</v>
      </c>
      <c r="D9" s="842" t="s">
        <v>236</v>
      </c>
      <c r="E9" s="843"/>
      <c r="F9" s="460"/>
      <c r="G9" s="264" t="s">
        <v>26</v>
      </c>
      <c r="H9" s="842" t="s">
        <v>235</v>
      </c>
      <c r="I9" s="843"/>
      <c r="J9" s="455"/>
      <c r="K9" s="264" t="s">
        <v>26</v>
      </c>
      <c r="L9" s="283"/>
      <c r="M9" s="256"/>
      <c r="N9" s="256"/>
      <c r="O9" s="256"/>
      <c r="P9" s="264"/>
      <c r="Q9" s="264"/>
      <c r="R9" s="53"/>
      <c r="S9" s="53"/>
      <c r="T9" s="53"/>
      <c r="U9" s="53"/>
    </row>
    <row r="10" spans="1:21">
      <c r="A10" s="452"/>
      <c r="B10" s="456"/>
      <c r="C10" s="457" t="s">
        <v>168</v>
      </c>
      <c r="D10" s="844" t="s">
        <v>236</v>
      </c>
      <c r="E10" s="845"/>
      <c r="F10" s="458"/>
      <c r="G10" s="456" t="s">
        <v>26</v>
      </c>
      <c r="H10" s="844" t="s">
        <v>235</v>
      </c>
      <c r="I10" s="845"/>
      <c r="J10" s="459"/>
      <c r="K10" s="456" t="s">
        <v>26</v>
      </c>
      <c r="L10" s="283"/>
      <c r="M10" s="256"/>
      <c r="N10" s="256"/>
      <c r="O10" s="256"/>
      <c r="P10" s="264"/>
      <c r="Q10" s="264"/>
      <c r="R10" s="53"/>
      <c r="S10" s="53"/>
      <c r="T10" s="53"/>
      <c r="U10" s="53"/>
    </row>
    <row r="11" spans="1:21">
      <c r="A11" s="452"/>
      <c r="B11" s="264"/>
      <c r="C11" s="414" t="s">
        <v>167</v>
      </c>
      <c r="D11" s="842" t="s">
        <v>236</v>
      </c>
      <c r="E11" s="843"/>
      <c r="F11" s="460"/>
      <c r="G11" s="264" t="s">
        <v>26</v>
      </c>
      <c r="H11" s="842" t="s">
        <v>235</v>
      </c>
      <c r="I11" s="843"/>
      <c r="J11" s="461"/>
      <c r="K11" s="264" t="s">
        <v>26</v>
      </c>
      <c r="L11" s="283"/>
      <c r="M11" s="256"/>
      <c r="N11" s="256"/>
      <c r="O11" s="256"/>
      <c r="P11" s="264"/>
      <c r="Q11" s="264"/>
      <c r="R11" s="53"/>
      <c r="S11" s="53"/>
      <c r="T11" s="53"/>
      <c r="U11" s="53"/>
    </row>
    <row r="12" spans="1:21">
      <c r="A12" s="452"/>
      <c r="B12" s="456"/>
      <c r="C12" s="457" t="s">
        <v>166</v>
      </c>
      <c r="D12" s="844" t="s">
        <v>236</v>
      </c>
      <c r="E12" s="845"/>
      <c r="F12" s="458"/>
      <c r="G12" s="456" t="s">
        <v>26</v>
      </c>
      <c r="H12" s="844" t="s">
        <v>235</v>
      </c>
      <c r="I12" s="845"/>
      <c r="J12" s="462"/>
      <c r="K12" s="456" t="s">
        <v>26</v>
      </c>
      <c r="L12" s="283"/>
      <c r="M12" s="256"/>
      <c r="N12" s="256"/>
      <c r="O12" s="256"/>
      <c r="P12" s="264"/>
      <c r="Q12" s="264"/>
      <c r="R12" s="53"/>
      <c r="S12" s="53"/>
      <c r="T12" s="53"/>
      <c r="U12" s="53"/>
    </row>
    <row r="13" spans="1:21">
      <c r="A13" s="452"/>
      <c r="B13" s="264"/>
      <c r="C13" s="264"/>
      <c r="D13" s="398"/>
      <c r="E13" s="398"/>
      <c r="F13" s="264"/>
      <c r="G13" s="264"/>
      <c r="H13" s="264"/>
      <c r="I13" s="264"/>
      <c r="J13" s="264"/>
      <c r="K13" s="264"/>
      <c r="L13" s="264"/>
      <c r="M13" s="264"/>
      <c r="N13" s="264"/>
      <c r="O13" s="256"/>
      <c r="P13" s="264"/>
      <c r="Q13" s="264"/>
      <c r="R13" s="53"/>
      <c r="S13" s="53"/>
      <c r="T13" s="53"/>
      <c r="U13" s="53"/>
    </row>
    <row r="14" spans="1:21" s="14" customFormat="1" ht="15.75">
      <c r="A14" s="400" t="s">
        <v>64</v>
      </c>
      <c r="B14" s="350" t="s">
        <v>234</v>
      </c>
      <c r="C14" s="350"/>
      <c r="D14" s="514"/>
      <c r="E14" s="514"/>
      <c r="F14" s="350"/>
      <c r="G14" s="350"/>
      <c r="H14" s="350"/>
      <c r="I14" s="350"/>
      <c r="J14" s="291"/>
      <c r="K14" s="291"/>
      <c r="L14" s="291"/>
      <c r="M14" s="291"/>
      <c r="N14" s="291"/>
      <c r="O14" s="294"/>
      <c r="R14" s="58"/>
      <c r="S14" s="58"/>
      <c r="T14" s="58"/>
      <c r="U14" s="58"/>
    </row>
    <row r="15" spans="1:21" s="14" customFormat="1" ht="13.5" thickBot="1">
      <c r="A15" s="431"/>
      <c r="D15" s="453"/>
      <c r="E15" s="453"/>
      <c r="O15" s="265"/>
      <c r="R15" s="58"/>
      <c r="S15" s="58"/>
      <c r="T15" s="58"/>
      <c r="U15" s="58"/>
    </row>
    <row r="16" spans="1:21" ht="13.5" thickBot="1">
      <c r="A16" s="452"/>
      <c r="B16" s="264" t="s">
        <v>233</v>
      </c>
      <c r="C16" s="264"/>
      <c r="D16" s="398"/>
      <c r="E16" s="398"/>
      <c r="F16" s="264"/>
      <c r="G16" s="272">
        <f>MAX(F7:F12)</f>
        <v>0</v>
      </c>
      <c r="H16" s="263" t="s">
        <v>219</v>
      </c>
      <c r="I16" s="272">
        <f>MIN(F7:F12)</f>
        <v>0</v>
      </c>
      <c r="J16" s="263" t="s">
        <v>65</v>
      </c>
      <c r="K16" s="274">
        <f>G16-I16</f>
        <v>0</v>
      </c>
      <c r="L16" s="264" t="s">
        <v>128</v>
      </c>
      <c r="M16" s="264"/>
      <c r="N16" s="264"/>
      <c r="O16" s="256"/>
      <c r="P16" s="264"/>
      <c r="Q16" s="264"/>
      <c r="R16" s="53"/>
      <c r="S16" s="53"/>
      <c r="T16" s="53"/>
      <c r="U16" s="53"/>
    </row>
    <row r="17" spans="1:21">
      <c r="A17" s="452"/>
      <c r="B17" s="264"/>
      <c r="C17" s="264"/>
      <c r="D17" s="398"/>
      <c r="E17" s="398"/>
      <c r="F17" s="264"/>
      <c r="G17" s="264"/>
      <c r="H17" s="264"/>
      <c r="I17" s="264"/>
      <c r="J17" s="264"/>
      <c r="K17" s="264"/>
      <c r="L17" s="264"/>
      <c r="M17" s="264"/>
      <c r="N17" s="264"/>
      <c r="O17" s="256"/>
      <c r="P17" s="264"/>
      <c r="Q17" s="264"/>
      <c r="R17" s="53"/>
      <c r="S17" s="53"/>
      <c r="T17" s="53"/>
      <c r="U17" s="53"/>
    </row>
    <row r="18" spans="1:21">
      <c r="A18" s="452"/>
      <c r="B18" s="264"/>
      <c r="C18" s="264"/>
      <c r="D18" s="398"/>
      <c r="E18" s="398"/>
      <c r="F18" s="264"/>
      <c r="G18" s="264"/>
      <c r="H18" s="264"/>
      <c r="I18" s="264"/>
      <c r="J18" s="264"/>
      <c r="K18" s="264"/>
      <c r="L18" s="264"/>
      <c r="M18" s="264"/>
      <c r="N18" s="264"/>
      <c r="O18" s="256"/>
      <c r="P18" s="264"/>
      <c r="Q18" s="264"/>
      <c r="R18" s="53"/>
      <c r="S18" s="53"/>
      <c r="T18" s="53"/>
      <c r="U18" s="53"/>
    </row>
    <row r="19" spans="1:21" s="14" customFormat="1" ht="15.75">
      <c r="A19" s="400" t="s">
        <v>63</v>
      </c>
      <c r="B19" s="350" t="s">
        <v>670</v>
      </c>
      <c r="C19" s="350"/>
      <c r="D19" s="514"/>
      <c r="E19" s="514"/>
      <c r="F19" s="353"/>
      <c r="G19" s="353"/>
      <c r="H19" s="350"/>
      <c r="I19" s="350"/>
      <c r="J19" s="350"/>
      <c r="K19" s="350"/>
      <c r="L19" s="350"/>
      <c r="M19" s="350"/>
      <c r="N19" s="350"/>
      <c r="O19" s="351"/>
      <c r="R19" s="58"/>
      <c r="S19" s="58"/>
      <c r="T19" s="58"/>
      <c r="U19" s="58"/>
    </row>
    <row r="20" spans="1:21" s="14" customFormat="1">
      <c r="A20" s="431"/>
      <c r="B20" s="13" t="s">
        <v>232</v>
      </c>
      <c r="D20" s="453"/>
      <c r="E20" s="453"/>
      <c r="F20" s="264"/>
      <c r="G20" s="264"/>
      <c r="R20" s="58"/>
      <c r="S20" s="58"/>
      <c r="T20" s="58"/>
      <c r="U20" s="58"/>
    </row>
    <row r="21" spans="1:21" s="14" customFormat="1" ht="13.5" thickBot="1">
      <c r="A21" s="431"/>
      <c r="B21" s="13"/>
      <c r="D21" s="453"/>
      <c r="E21" s="453"/>
      <c r="F21" s="264"/>
      <c r="G21" s="264"/>
      <c r="R21" s="58"/>
      <c r="S21" s="58"/>
      <c r="T21" s="58"/>
      <c r="U21" s="58"/>
    </row>
    <row r="22" spans="1:21" s="14" customFormat="1" ht="13.5" thickBot="1">
      <c r="A22" s="431"/>
      <c r="B22" s="276">
        <f>IF('Site Evaluation'!E24&lt;=1,1,2)</f>
        <v>2</v>
      </c>
      <c r="C22" s="277" t="s">
        <v>231</v>
      </c>
      <c r="D22" s="272">
        <f>K16</f>
        <v>0</v>
      </c>
      <c r="E22" s="263" t="s">
        <v>230</v>
      </c>
      <c r="G22" s="274">
        <f>B22+D22</f>
        <v>2</v>
      </c>
      <c r="H22" s="256" t="s">
        <v>128</v>
      </c>
      <c r="K22" s="289"/>
      <c r="L22" s="275"/>
      <c r="M22" s="263"/>
      <c r="N22" s="275"/>
      <c r="O22" s="256"/>
      <c r="R22" s="58"/>
      <c r="S22" s="58"/>
      <c r="T22" s="58"/>
      <c r="U22" s="58"/>
    </row>
    <row r="23" spans="1:21">
      <c r="A23" s="452"/>
      <c r="B23" s="13" t="s">
        <v>229</v>
      </c>
      <c r="C23" s="264"/>
      <c r="D23" s="398"/>
      <c r="E23" s="398"/>
      <c r="F23" s="264"/>
      <c r="G23" s="264"/>
      <c r="H23" s="264"/>
      <c r="I23" s="264"/>
      <c r="J23" s="264"/>
      <c r="K23" s="264"/>
      <c r="L23" s="264"/>
      <c r="M23" s="264"/>
      <c r="N23" s="264"/>
      <c r="O23" s="256"/>
      <c r="P23" s="264"/>
      <c r="Q23" s="264"/>
      <c r="R23" s="53"/>
      <c r="S23" s="53"/>
      <c r="T23" s="53"/>
      <c r="U23" s="53"/>
    </row>
    <row r="24" spans="1:21">
      <c r="A24" s="452"/>
      <c r="B24" s="13"/>
      <c r="C24" s="264"/>
      <c r="D24" s="398"/>
      <c r="E24" s="398"/>
      <c r="F24" s="264"/>
      <c r="G24" s="264"/>
      <c r="H24" s="264"/>
      <c r="I24" s="264"/>
      <c r="J24" s="264"/>
      <c r="K24" s="264"/>
      <c r="L24" s="264"/>
      <c r="M24" s="264"/>
      <c r="N24" s="264"/>
      <c r="O24" s="256"/>
      <c r="P24" s="264"/>
      <c r="Q24" s="264"/>
      <c r="R24" s="53"/>
      <c r="S24" s="53"/>
      <c r="T24" s="53"/>
      <c r="U24" s="53"/>
    </row>
    <row r="25" spans="1:21" s="14" customFormat="1" ht="15.75">
      <c r="A25" s="400" t="s">
        <v>37</v>
      </c>
      <c r="B25" s="350" t="s">
        <v>228</v>
      </c>
      <c r="C25" s="350"/>
      <c r="D25" s="514"/>
      <c r="E25" s="514"/>
      <c r="F25" s="350"/>
      <c r="G25" s="350"/>
      <c r="H25" s="350"/>
      <c r="I25" s="350"/>
      <c r="J25" s="350"/>
      <c r="K25" s="350"/>
      <c r="L25" s="350"/>
      <c r="M25" s="350"/>
      <c r="N25" s="350"/>
      <c r="O25" s="351"/>
      <c r="R25" s="58"/>
      <c r="S25" s="58"/>
      <c r="T25" s="58"/>
      <c r="U25" s="58"/>
    </row>
    <row r="26" spans="1:21" s="14" customFormat="1" ht="18">
      <c r="A26" s="431"/>
      <c r="B26" s="16"/>
      <c r="D26" s="453"/>
      <c r="E26" s="453"/>
      <c r="O26" s="265"/>
      <c r="R26" s="58"/>
      <c r="S26" s="58"/>
      <c r="T26" s="58"/>
      <c r="U26" s="58"/>
    </row>
    <row r="27" spans="1:21">
      <c r="A27" s="452"/>
      <c r="B27" s="264" t="s">
        <v>227</v>
      </c>
      <c r="C27" s="264"/>
      <c r="D27" s="398"/>
      <c r="E27" s="398"/>
      <c r="F27" s="264"/>
      <c r="G27" s="264"/>
      <c r="H27" s="264"/>
      <c r="I27" s="264"/>
      <c r="J27" s="264"/>
      <c r="K27" s="264"/>
      <c r="L27" s="264"/>
      <c r="M27" s="264"/>
      <c r="N27" s="264"/>
      <c r="O27" s="256"/>
      <c r="P27" s="264"/>
      <c r="Q27" s="264"/>
      <c r="R27" s="53"/>
      <c r="S27" s="53"/>
      <c r="T27" s="53"/>
      <c r="U27" s="53"/>
    </row>
    <row r="28" spans="1:21">
      <c r="A28" s="452"/>
      <c r="B28" s="264"/>
      <c r="C28" s="264"/>
      <c r="D28" s="398"/>
      <c r="E28" s="398"/>
      <c r="F28" s="264"/>
      <c r="G28" s="264"/>
      <c r="H28" s="264"/>
      <c r="I28" s="264"/>
      <c r="J28" s="264"/>
      <c r="K28" s="264"/>
      <c r="L28" s="264"/>
      <c r="M28" s="264"/>
      <c r="N28" s="264"/>
      <c r="O28" s="256"/>
      <c r="P28" s="264"/>
      <c r="Q28" s="264"/>
      <c r="R28" s="53"/>
      <c r="S28" s="53"/>
      <c r="T28" s="53"/>
      <c r="U28" s="53"/>
    </row>
    <row r="29" spans="1:21">
      <c r="A29" s="452"/>
      <c r="B29" s="264" t="s">
        <v>226</v>
      </c>
      <c r="C29" s="264"/>
      <c r="D29" s="398"/>
      <c r="E29" s="398"/>
      <c r="F29" s="264"/>
      <c r="G29" s="264"/>
      <c r="H29" s="264"/>
      <c r="I29" s="264"/>
      <c r="J29" s="264"/>
      <c r="K29" s="264"/>
      <c r="L29" s="264"/>
      <c r="M29" s="264"/>
      <c r="N29" s="264"/>
      <c r="O29" s="256"/>
      <c r="P29" s="264"/>
      <c r="Q29" s="264"/>
      <c r="R29" s="53"/>
      <c r="S29" s="53"/>
      <c r="T29" s="53"/>
      <c r="U29" s="53"/>
    </row>
    <row r="30" spans="1:21" ht="6" customHeight="1">
      <c r="A30" s="452"/>
      <c r="B30" s="264"/>
      <c r="C30" s="264"/>
      <c r="D30" s="398"/>
      <c r="E30" s="398"/>
      <c r="F30" s="264"/>
      <c r="G30" s="264"/>
      <c r="H30" s="264"/>
      <c r="I30" s="264"/>
      <c r="J30" s="264"/>
      <c r="K30" s="264"/>
      <c r="L30" s="264"/>
      <c r="M30" s="264"/>
      <c r="N30" s="264"/>
      <c r="O30" s="256"/>
      <c r="P30" s="264"/>
      <c r="Q30" s="264"/>
      <c r="R30" s="53"/>
      <c r="S30" s="53"/>
      <c r="T30" s="53"/>
      <c r="U30" s="53"/>
    </row>
    <row r="31" spans="1:21">
      <c r="A31" s="452"/>
      <c r="B31" s="414" t="s">
        <v>171</v>
      </c>
      <c r="C31" s="398" t="s">
        <v>222</v>
      </c>
      <c r="D31" s="463">
        <f t="shared" ref="D31:D36" si="0">F7</f>
        <v>0</v>
      </c>
      <c r="E31" s="275"/>
      <c r="F31" s="264"/>
      <c r="G31" s="256"/>
      <c r="H31" s="256"/>
      <c r="I31" s="264"/>
      <c r="J31" s="275"/>
      <c r="K31" s="257"/>
      <c r="L31" s="275"/>
      <c r="M31" s="263"/>
      <c r="N31" s="464">
        <f>B22</f>
        <v>2</v>
      </c>
      <c r="O31" s="264" t="s">
        <v>26</v>
      </c>
      <c r="P31" s="264"/>
      <c r="Q31" s="264"/>
      <c r="R31" s="53"/>
      <c r="S31" s="53"/>
      <c r="T31" s="53"/>
      <c r="U31" s="53"/>
    </row>
    <row r="32" spans="1:21">
      <c r="A32" s="452"/>
      <c r="B32" s="457" t="s">
        <v>170</v>
      </c>
      <c r="C32" s="465" t="s">
        <v>222</v>
      </c>
      <c r="D32" s="466">
        <f t="shared" si="0"/>
        <v>0</v>
      </c>
      <c r="E32" s="467">
        <f>IF(D32=0,0,B22)</f>
        <v>0</v>
      </c>
      <c r="F32" s="468" t="s">
        <v>225</v>
      </c>
      <c r="G32" s="468"/>
      <c r="H32" s="469">
        <f>E32</f>
        <v>0</v>
      </c>
      <c r="I32" s="456" t="s">
        <v>220</v>
      </c>
      <c r="J32" s="470">
        <f>D31</f>
        <v>0</v>
      </c>
      <c r="K32" s="471" t="s">
        <v>219</v>
      </c>
      <c r="L32" s="470">
        <f>D32</f>
        <v>0</v>
      </c>
      <c r="M32" s="471" t="s">
        <v>218</v>
      </c>
      <c r="N32" s="464">
        <f>IF(L32=0,0,B22+(J32-L32))</f>
        <v>0</v>
      </c>
      <c r="O32" s="456" t="s">
        <v>26</v>
      </c>
      <c r="P32" s="264"/>
      <c r="Q32" s="264"/>
      <c r="R32" s="53"/>
      <c r="S32" s="53"/>
      <c r="T32" s="53"/>
      <c r="U32" s="53"/>
    </row>
    <row r="33" spans="1:22">
      <c r="A33" s="452"/>
      <c r="B33" s="414" t="s">
        <v>169</v>
      </c>
      <c r="C33" s="398" t="s">
        <v>222</v>
      </c>
      <c r="D33" s="472">
        <f t="shared" si="0"/>
        <v>0</v>
      </c>
      <c r="E33" s="473">
        <f>IF(D33=0,0,B22)</f>
        <v>0</v>
      </c>
      <c r="F33" s="474" t="s">
        <v>224</v>
      </c>
      <c r="G33" s="474"/>
      <c r="H33" s="475">
        <f>E33</f>
        <v>0</v>
      </c>
      <c r="I33" s="264" t="s">
        <v>220</v>
      </c>
      <c r="J33" s="463">
        <f>D31</f>
        <v>0</v>
      </c>
      <c r="K33" s="263" t="s">
        <v>219</v>
      </c>
      <c r="L33" s="463">
        <f>D33</f>
        <v>0</v>
      </c>
      <c r="M33" s="263" t="s">
        <v>218</v>
      </c>
      <c r="N33" s="464">
        <f>IF(L33=0,0,B22+(J33-L33))</f>
        <v>0</v>
      </c>
      <c r="O33" s="264" t="s">
        <v>26</v>
      </c>
      <c r="P33" s="264"/>
      <c r="Q33" s="264"/>
      <c r="R33" s="53"/>
      <c r="S33" s="53"/>
      <c r="T33" s="53"/>
      <c r="U33" s="53"/>
    </row>
    <row r="34" spans="1:22">
      <c r="A34" s="452"/>
      <c r="B34" s="457" t="s">
        <v>168</v>
      </c>
      <c r="C34" s="465" t="s">
        <v>222</v>
      </c>
      <c r="D34" s="466">
        <f t="shared" si="0"/>
        <v>0</v>
      </c>
      <c r="E34" s="467">
        <f>IF(D34=0,0,B22)</f>
        <v>0</v>
      </c>
      <c r="F34" s="468" t="s">
        <v>223</v>
      </c>
      <c r="G34" s="468"/>
      <c r="H34" s="469">
        <f>E34</f>
        <v>0</v>
      </c>
      <c r="I34" s="456" t="s">
        <v>220</v>
      </c>
      <c r="J34" s="470">
        <f>D31</f>
        <v>0</v>
      </c>
      <c r="K34" s="471" t="s">
        <v>219</v>
      </c>
      <c r="L34" s="470">
        <f>D34</f>
        <v>0</v>
      </c>
      <c r="M34" s="471" t="s">
        <v>218</v>
      </c>
      <c r="N34" s="464">
        <f>IF(L34=0,0,B22+(J34-L34))</f>
        <v>0</v>
      </c>
      <c r="O34" s="456" t="s">
        <v>26</v>
      </c>
      <c r="P34" s="264"/>
      <c r="Q34" s="264"/>
      <c r="R34" s="53"/>
      <c r="S34" s="53"/>
      <c r="T34" s="53"/>
      <c r="U34" s="53"/>
    </row>
    <row r="35" spans="1:22">
      <c r="A35" s="452"/>
      <c r="B35" s="414" t="s">
        <v>167</v>
      </c>
      <c r="C35" s="398" t="s">
        <v>222</v>
      </c>
      <c r="D35" s="472">
        <f t="shared" si="0"/>
        <v>0</v>
      </c>
      <c r="E35" s="473">
        <f>IF(D35=0,0,B22)</f>
        <v>0</v>
      </c>
      <c r="F35" s="286" t="s">
        <v>221</v>
      </c>
      <c r="G35" s="286"/>
      <c r="H35" s="475">
        <f>E35</f>
        <v>0</v>
      </c>
      <c r="I35" s="264" t="s">
        <v>220</v>
      </c>
      <c r="J35" s="463">
        <f>D31</f>
        <v>0</v>
      </c>
      <c r="K35" s="263" t="s">
        <v>219</v>
      </c>
      <c r="L35" s="463">
        <f>D35</f>
        <v>0</v>
      </c>
      <c r="M35" s="263" t="s">
        <v>218</v>
      </c>
      <c r="N35" s="464">
        <f>IF(L35=0,0,B22+(J35-L35))</f>
        <v>0</v>
      </c>
      <c r="O35" s="264" t="s">
        <v>26</v>
      </c>
      <c r="P35" s="264"/>
      <c r="Q35" s="264"/>
      <c r="R35" s="53"/>
      <c r="S35" s="53"/>
      <c r="T35" s="53"/>
      <c r="U35" s="53"/>
    </row>
    <row r="36" spans="1:22">
      <c r="A36" s="452"/>
      <c r="B36" s="457" t="s">
        <v>166</v>
      </c>
      <c r="C36" s="465" t="s">
        <v>222</v>
      </c>
      <c r="D36" s="466">
        <f t="shared" si="0"/>
        <v>0</v>
      </c>
      <c r="E36" s="467">
        <f>IF(D36=0,0,B22)</f>
        <v>0</v>
      </c>
      <c r="F36" s="476" t="s">
        <v>221</v>
      </c>
      <c r="G36" s="476"/>
      <c r="H36" s="469">
        <f>E36</f>
        <v>0</v>
      </c>
      <c r="I36" s="456" t="s">
        <v>220</v>
      </c>
      <c r="J36" s="470">
        <f>D31</f>
        <v>0</v>
      </c>
      <c r="K36" s="471" t="s">
        <v>219</v>
      </c>
      <c r="L36" s="470">
        <f>D36</f>
        <v>0</v>
      </c>
      <c r="M36" s="471" t="s">
        <v>218</v>
      </c>
      <c r="N36" s="464">
        <f>IF(L36=0,0,B22+(J36-L36))</f>
        <v>0</v>
      </c>
      <c r="O36" s="456" t="s">
        <v>26</v>
      </c>
      <c r="P36" s="264"/>
      <c r="Q36" s="264"/>
      <c r="R36" s="53"/>
      <c r="S36" s="53"/>
      <c r="T36" s="53"/>
      <c r="U36" s="53"/>
    </row>
    <row r="37" spans="1:22">
      <c r="A37" s="452"/>
      <c r="B37" s="264"/>
      <c r="C37" s="264"/>
      <c r="D37" s="398"/>
      <c r="E37" s="398"/>
      <c r="F37" s="264"/>
      <c r="G37" s="264"/>
      <c r="H37" s="264"/>
      <c r="I37" s="264"/>
      <c r="J37" s="263"/>
      <c r="K37" s="398"/>
      <c r="L37" s="264"/>
      <c r="M37" s="264"/>
      <c r="N37" s="264"/>
      <c r="O37" s="256"/>
      <c r="P37" s="264"/>
      <c r="Q37" s="264"/>
      <c r="R37" s="53"/>
      <c r="S37" s="53"/>
      <c r="T37" s="53"/>
      <c r="U37" s="53"/>
    </row>
    <row r="38" spans="1:22" ht="15.75">
      <c r="A38" s="400" t="s">
        <v>123</v>
      </c>
      <c r="B38" s="350" t="s">
        <v>672</v>
      </c>
      <c r="C38" s="350"/>
      <c r="D38" s="514"/>
      <c r="E38" s="514"/>
      <c r="F38" s="350"/>
      <c r="G38" s="350"/>
      <c r="H38" s="350"/>
      <c r="I38" s="350"/>
      <c r="J38" s="515"/>
      <c r="K38" s="291"/>
      <c r="L38" s="291"/>
      <c r="M38" s="291"/>
      <c r="N38" s="291"/>
      <c r="O38" s="294"/>
      <c r="P38" s="14"/>
      <c r="Q38" s="264"/>
      <c r="R38" s="53"/>
      <c r="S38" s="53"/>
      <c r="T38" s="53"/>
      <c r="U38" s="53"/>
    </row>
    <row r="39" spans="1:22">
      <c r="A39" s="431"/>
      <c r="B39" s="13" t="s">
        <v>217</v>
      </c>
      <c r="C39" s="14"/>
      <c r="D39" s="453"/>
      <c r="E39" s="453"/>
      <c r="F39" s="14"/>
      <c r="G39" s="14"/>
      <c r="H39" s="14"/>
      <c r="I39" s="14"/>
      <c r="J39" s="432"/>
      <c r="K39" s="14"/>
      <c r="L39" s="14"/>
      <c r="M39" s="14"/>
      <c r="N39" s="14"/>
      <c r="O39" s="265"/>
      <c r="P39" s="14"/>
      <c r="Q39" s="264"/>
      <c r="R39" s="53"/>
      <c r="S39" s="53"/>
      <c r="T39" s="53"/>
      <c r="U39" s="53"/>
    </row>
    <row r="40" spans="1:22">
      <c r="A40" s="431"/>
      <c r="B40" s="13"/>
      <c r="C40" s="14"/>
      <c r="D40" s="453"/>
      <c r="E40" s="453"/>
      <c r="F40" s="14"/>
      <c r="G40" s="14"/>
      <c r="H40" s="14"/>
      <c r="I40" s="14"/>
      <c r="J40" s="432"/>
      <c r="K40" s="14"/>
      <c r="L40" s="14"/>
      <c r="M40" s="14"/>
      <c r="N40" s="14"/>
      <c r="O40" s="265"/>
      <c r="P40" s="14"/>
      <c r="Q40" s="264"/>
      <c r="R40" s="53"/>
      <c r="S40" s="53"/>
      <c r="T40" s="53"/>
      <c r="U40" s="53"/>
    </row>
    <row r="41" spans="1:22" s="14" customFormat="1">
      <c r="A41" s="452"/>
      <c r="B41" s="414" t="s">
        <v>171</v>
      </c>
      <c r="C41" s="398" t="s">
        <v>216</v>
      </c>
      <c r="D41" s="463">
        <f t="shared" ref="D41:D46" si="1">N31</f>
        <v>2</v>
      </c>
      <c r="E41" s="275"/>
      <c r="F41" s="398" t="s">
        <v>202</v>
      </c>
      <c r="G41" s="256" t="s">
        <v>215</v>
      </c>
      <c r="H41" s="264"/>
      <c r="I41" s="477"/>
      <c r="J41" s="263" t="s">
        <v>65</v>
      </c>
      <c r="K41" s="478"/>
      <c r="L41" s="264" t="s">
        <v>183</v>
      </c>
      <c r="M41" s="264"/>
      <c r="O41" s="265"/>
      <c r="Q41" s="264"/>
      <c r="R41" s="53"/>
      <c r="S41" s="53"/>
      <c r="T41" s="53"/>
      <c r="U41" s="53"/>
      <c r="V41" s="9"/>
    </row>
    <row r="42" spans="1:22">
      <c r="A42" s="452"/>
      <c r="B42" s="457" t="s">
        <v>170</v>
      </c>
      <c r="C42" s="465" t="s">
        <v>216</v>
      </c>
      <c r="D42" s="470">
        <f t="shared" si="1"/>
        <v>0</v>
      </c>
      <c r="E42" s="479"/>
      <c r="F42" s="465" t="s">
        <v>202</v>
      </c>
      <c r="G42" s="480" t="s">
        <v>215</v>
      </c>
      <c r="H42" s="456"/>
      <c r="I42" s="477"/>
      <c r="J42" s="471" t="s">
        <v>65</v>
      </c>
      <c r="K42" s="481"/>
      <c r="L42" s="456" t="s">
        <v>183</v>
      </c>
      <c r="M42" s="264"/>
      <c r="N42" s="264"/>
      <c r="O42" s="256"/>
      <c r="P42" s="264"/>
      <c r="Q42" s="264"/>
      <c r="R42" s="53"/>
      <c r="S42" s="53"/>
      <c r="T42" s="53"/>
      <c r="U42" s="53"/>
    </row>
    <row r="43" spans="1:22">
      <c r="A43" s="452"/>
      <c r="B43" s="414" t="s">
        <v>169</v>
      </c>
      <c r="C43" s="398" t="s">
        <v>216</v>
      </c>
      <c r="D43" s="463">
        <f t="shared" si="1"/>
        <v>0</v>
      </c>
      <c r="E43" s="275"/>
      <c r="F43" s="398" t="s">
        <v>202</v>
      </c>
      <c r="G43" s="256" t="s">
        <v>215</v>
      </c>
      <c r="H43" s="264"/>
      <c r="I43" s="477"/>
      <c r="J43" s="263" t="s">
        <v>65</v>
      </c>
      <c r="K43" s="481"/>
      <c r="L43" s="264" t="s">
        <v>183</v>
      </c>
      <c r="M43" s="264"/>
      <c r="N43" s="264"/>
      <c r="O43" s="256"/>
      <c r="P43" s="264"/>
      <c r="Q43" s="264"/>
      <c r="R43" s="53"/>
      <c r="S43" s="53"/>
      <c r="T43" s="53"/>
      <c r="U43" s="53"/>
    </row>
    <row r="44" spans="1:22">
      <c r="A44" s="452"/>
      <c r="B44" s="457" t="s">
        <v>168</v>
      </c>
      <c r="C44" s="465" t="s">
        <v>216</v>
      </c>
      <c r="D44" s="470">
        <f t="shared" si="1"/>
        <v>0</v>
      </c>
      <c r="E44" s="479"/>
      <c r="F44" s="465" t="s">
        <v>202</v>
      </c>
      <c r="G44" s="480" t="s">
        <v>215</v>
      </c>
      <c r="H44" s="456"/>
      <c r="I44" s="477"/>
      <c r="J44" s="471" t="s">
        <v>65</v>
      </c>
      <c r="K44" s="481"/>
      <c r="L44" s="456" t="s">
        <v>183</v>
      </c>
      <c r="M44" s="264"/>
      <c r="N44" s="264"/>
      <c r="O44" s="256"/>
      <c r="P44" s="264"/>
      <c r="Q44" s="264"/>
      <c r="R44" s="53"/>
      <c r="S44" s="53"/>
      <c r="T44" s="53"/>
      <c r="U44" s="53"/>
    </row>
    <row r="45" spans="1:22">
      <c r="A45" s="452"/>
      <c r="B45" s="414" t="s">
        <v>167</v>
      </c>
      <c r="C45" s="398" t="s">
        <v>216</v>
      </c>
      <c r="D45" s="463">
        <f t="shared" si="1"/>
        <v>0</v>
      </c>
      <c r="E45" s="275"/>
      <c r="F45" s="398" t="s">
        <v>202</v>
      </c>
      <c r="G45" s="256" t="s">
        <v>215</v>
      </c>
      <c r="H45" s="264"/>
      <c r="I45" s="477"/>
      <c r="J45" s="263" t="s">
        <v>65</v>
      </c>
      <c r="K45" s="481"/>
      <c r="L45" s="264" t="s">
        <v>183</v>
      </c>
      <c r="M45" s="264"/>
      <c r="N45" s="264"/>
      <c r="O45" s="256"/>
      <c r="P45" s="264"/>
      <c r="Q45" s="264"/>
      <c r="R45" s="53"/>
      <c r="S45" s="53"/>
      <c r="T45" s="53"/>
      <c r="U45" s="53"/>
    </row>
    <row r="46" spans="1:22">
      <c r="A46" s="452"/>
      <c r="B46" s="457" t="s">
        <v>166</v>
      </c>
      <c r="C46" s="465" t="s">
        <v>216</v>
      </c>
      <c r="D46" s="470">
        <f t="shared" si="1"/>
        <v>0</v>
      </c>
      <c r="E46" s="479"/>
      <c r="F46" s="465" t="s">
        <v>202</v>
      </c>
      <c r="G46" s="480" t="s">
        <v>215</v>
      </c>
      <c r="H46" s="456"/>
      <c r="I46" s="477"/>
      <c r="J46" s="471" t="s">
        <v>65</v>
      </c>
      <c r="K46" s="481"/>
      <c r="L46" s="456" t="s">
        <v>183</v>
      </c>
      <c r="M46" s="264"/>
      <c r="N46" s="264"/>
      <c r="O46" s="256"/>
      <c r="P46" s="264"/>
      <c r="Q46" s="264"/>
      <c r="R46" s="53"/>
      <c r="S46" s="53"/>
      <c r="T46" s="53"/>
      <c r="U46" s="53"/>
    </row>
    <row r="47" spans="1:22">
      <c r="A47" s="452"/>
      <c r="B47" s="264"/>
      <c r="C47" s="264"/>
      <c r="D47" s="398"/>
      <c r="E47" s="398"/>
      <c r="F47" s="264"/>
      <c r="G47" s="264"/>
      <c r="H47" s="264"/>
      <c r="I47" s="264"/>
      <c r="J47" s="264"/>
      <c r="K47" s="264"/>
      <c r="L47" s="264"/>
      <c r="M47" s="264"/>
      <c r="N47" s="264"/>
      <c r="O47" s="256"/>
      <c r="P47" s="264"/>
      <c r="Q47" s="264"/>
      <c r="R47" s="53"/>
      <c r="S47" s="53"/>
      <c r="T47" s="53"/>
      <c r="U47" s="53"/>
    </row>
    <row r="48" spans="1:22" ht="15.75">
      <c r="A48" s="400" t="s">
        <v>214</v>
      </c>
      <c r="B48" s="350" t="s">
        <v>671</v>
      </c>
      <c r="C48" s="353"/>
      <c r="D48" s="241"/>
      <c r="E48" s="241"/>
      <c r="F48" s="353"/>
      <c r="G48" s="353"/>
      <c r="H48" s="353"/>
      <c r="I48" s="353"/>
      <c r="J48" s="353"/>
      <c r="K48" s="353"/>
      <c r="L48" s="353"/>
      <c r="M48" s="353"/>
      <c r="N48" s="353"/>
      <c r="O48" s="355"/>
      <c r="P48" s="14"/>
      <c r="Q48" s="264"/>
      <c r="R48" s="53"/>
      <c r="S48" s="53"/>
      <c r="T48" s="53"/>
      <c r="U48" s="53"/>
    </row>
    <row r="49" spans="1:22">
      <c r="A49" s="431"/>
      <c r="B49" s="14"/>
      <c r="C49" s="264"/>
      <c r="D49" s="398"/>
      <c r="E49" s="398"/>
      <c r="F49" s="264"/>
      <c r="G49" s="264"/>
      <c r="H49" s="264"/>
      <c r="I49" s="264"/>
      <c r="J49" s="264"/>
      <c r="K49" s="264"/>
      <c r="L49" s="264"/>
      <c r="M49" s="264"/>
      <c r="N49" s="264"/>
      <c r="O49" s="256"/>
      <c r="P49" s="14"/>
      <c r="Q49" s="264"/>
      <c r="R49" s="53"/>
      <c r="S49" s="53"/>
      <c r="T49" s="53"/>
      <c r="U49" s="53"/>
    </row>
    <row r="50" spans="1:22" s="14" customFormat="1">
      <c r="A50" s="452"/>
      <c r="C50" s="265" t="s">
        <v>521</v>
      </c>
      <c r="D50" s="414"/>
      <c r="E50" s="414"/>
      <c r="F50" s="260"/>
      <c r="G50" s="264"/>
      <c r="H50" s="264"/>
      <c r="I50" s="264"/>
      <c r="J50" s="264"/>
      <c r="K50" s="264"/>
      <c r="L50" s="264"/>
      <c r="M50" s="264"/>
      <c r="N50" s="264"/>
      <c r="O50" s="256"/>
      <c r="P50" s="264"/>
      <c r="Q50" s="264"/>
      <c r="R50" s="53"/>
      <c r="S50" s="53"/>
      <c r="T50" s="53"/>
      <c r="U50" s="53"/>
      <c r="V50" s="9"/>
    </row>
    <row r="51" spans="1:22" s="14" customFormat="1">
      <c r="A51" s="452"/>
      <c r="C51" s="270" t="s">
        <v>520</v>
      </c>
      <c r="D51" s="414"/>
      <c r="E51" s="414"/>
      <c r="F51" s="260"/>
      <c r="G51" s="264"/>
      <c r="H51" s="264"/>
      <c r="I51" s="264"/>
      <c r="J51" s="264"/>
      <c r="K51" s="264"/>
      <c r="L51" s="264"/>
      <c r="M51" s="264"/>
      <c r="N51" s="264"/>
      <c r="O51" s="256"/>
      <c r="P51" s="264"/>
      <c r="Q51" s="264"/>
      <c r="R51" s="53"/>
      <c r="S51" s="53"/>
      <c r="T51" s="53"/>
      <c r="U51" s="53"/>
      <c r="V51" s="9"/>
    </row>
    <row r="52" spans="1:22" s="14" customFormat="1" ht="13.5" thickBot="1">
      <c r="A52" s="452"/>
      <c r="C52" s="270"/>
      <c r="D52" s="414"/>
      <c r="E52" s="414"/>
      <c r="F52" s="260"/>
      <c r="G52" s="264"/>
      <c r="H52" s="264"/>
      <c r="I52" s="264"/>
      <c r="J52" s="264"/>
      <c r="K52" s="264"/>
      <c r="L52" s="264"/>
      <c r="M52" s="264"/>
      <c r="N52" s="264"/>
      <c r="O52" s="256"/>
      <c r="P52" s="264"/>
      <c r="Q52" s="264"/>
      <c r="R52" s="53"/>
      <c r="S52" s="53"/>
      <c r="T52" s="53"/>
      <c r="U52" s="53"/>
      <c r="V52" s="9"/>
    </row>
    <row r="53" spans="1:22" ht="13.5" thickBot="1">
      <c r="A53" s="452"/>
      <c r="B53" s="414" t="s">
        <v>213</v>
      </c>
      <c r="C53" s="266">
        <f>J7</f>
        <v>0</v>
      </c>
      <c r="D53" s="414" t="s">
        <v>212</v>
      </c>
      <c r="E53" s="414"/>
      <c r="F53" s="266">
        <f>IF(ISBLANK('PresDist '!E9),"",'PresDist '!E9)</f>
        <v>3</v>
      </c>
      <c r="G53" s="264" t="s">
        <v>211</v>
      </c>
      <c r="H53" s="268">
        <f>IF(F53=0,0,ROUNDDOWN(((C53-2)/F53),0)+1)</f>
        <v>1</v>
      </c>
      <c r="I53" s="264" t="s">
        <v>665</v>
      </c>
      <c r="J53" s="264"/>
      <c r="K53" s="264"/>
      <c r="L53" s="264"/>
      <c r="M53" s="264"/>
      <c r="N53" s="264"/>
      <c r="O53" s="256"/>
      <c r="P53" s="264"/>
      <c r="Q53" s="264"/>
      <c r="R53" s="53"/>
      <c r="S53" s="53"/>
      <c r="T53" s="53"/>
      <c r="U53" s="53"/>
    </row>
    <row r="54" spans="1:22">
      <c r="A54" s="452"/>
      <c r="B54" s="414"/>
      <c r="C54" s="257"/>
      <c r="D54" s="414"/>
      <c r="E54" s="414"/>
      <c r="F54" s="290" t="s">
        <v>176</v>
      </c>
      <c r="G54" s="264"/>
      <c r="H54" s="257"/>
      <c r="I54" s="264"/>
      <c r="J54" s="264"/>
      <c r="K54" s="264"/>
      <c r="L54" s="264"/>
      <c r="M54" s="264"/>
      <c r="N54" s="264"/>
      <c r="O54" s="256"/>
      <c r="P54" s="264"/>
      <c r="Q54" s="264"/>
      <c r="R54" s="53"/>
      <c r="S54" s="53"/>
      <c r="T54" s="53"/>
      <c r="U54" s="53"/>
    </row>
    <row r="55" spans="1:22">
      <c r="A55" s="452"/>
      <c r="B55" s="414"/>
      <c r="C55" s="257"/>
      <c r="D55" s="414"/>
      <c r="E55" s="414"/>
      <c r="F55" s="290"/>
      <c r="G55" s="264"/>
      <c r="H55" s="257"/>
      <c r="I55" s="264"/>
      <c r="J55" s="264"/>
      <c r="K55" s="264"/>
      <c r="L55" s="264"/>
      <c r="M55" s="264"/>
      <c r="N55" s="264"/>
      <c r="O55" s="256"/>
      <c r="P55" s="264"/>
      <c r="Q55" s="264"/>
      <c r="R55" s="53"/>
      <c r="S55" s="53"/>
      <c r="T55" s="53"/>
      <c r="U55" s="53"/>
    </row>
    <row r="56" spans="1:22">
      <c r="A56" s="452"/>
      <c r="B56" s="414"/>
      <c r="C56" s="277" t="s">
        <v>666</v>
      </c>
      <c r="D56" s="414"/>
      <c r="E56" s="414"/>
      <c r="F56" s="256"/>
      <c r="G56" s="264"/>
      <c r="H56" s="264"/>
      <c r="I56" s="264"/>
      <c r="J56" s="264"/>
      <c r="K56" s="264"/>
      <c r="L56" s="264"/>
      <c r="M56" s="264"/>
      <c r="N56" s="264"/>
      <c r="O56" s="256"/>
      <c r="P56" s="264"/>
      <c r="Q56" s="264"/>
      <c r="R56" s="53"/>
      <c r="S56" s="53"/>
      <c r="T56" s="53"/>
      <c r="U56" s="53"/>
    </row>
    <row r="57" spans="1:22">
      <c r="A57" s="452"/>
      <c r="B57" s="414"/>
      <c r="C57" s="433" t="s">
        <v>522</v>
      </c>
      <c r="D57" s="414"/>
      <c r="E57" s="414"/>
      <c r="F57" s="256"/>
      <c r="G57" s="264"/>
      <c r="H57" s="264"/>
      <c r="I57" s="264"/>
      <c r="J57" s="264"/>
      <c r="K57" s="264"/>
      <c r="L57" s="264"/>
      <c r="M57" s="264"/>
      <c r="N57" s="264"/>
      <c r="O57" s="256"/>
      <c r="P57" s="264"/>
      <c r="Q57" s="264"/>
      <c r="R57" s="53"/>
      <c r="S57" s="53"/>
      <c r="T57" s="53"/>
      <c r="U57" s="53"/>
    </row>
    <row r="58" spans="1:22" ht="13.5" thickBot="1">
      <c r="A58" s="452"/>
      <c r="B58" s="414"/>
      <c r="C58" s="277"/>
      <c r="D58" s="414"/>
      <c r="E58" s="414"/>
      <c r="F58" s="256"/>
      <c r="G58" s="264"/>
      <c r="H58" s="264"/>
      <c r="I58" s="264"/>
      <c r="J58" s="264"/>
      <c r="K58" s="264"/>
      <c r="L58" s="264"/>
      <c r="M58" s="264"/>
      <c r="N58" s="264"/>
      <c r="O58" s="256"/>
      <c r="P58" s="264"/>
      <c r="Q58" s="264"/>
      <c r="R58" s="53"/>
      <c r="S58" s="53"/>
      <c r="T58" s="53"/>
      <c r="U58" s="53"/>
    </row>
    <row r="59" spans="1:22" ht="13.5" thickBot="1">
      <c r="A59" s="452"/>
      <c r="B59" s="264"/>
      <c r="C59" s="266">
        <f>H53</f>
        <v>1</v>
      </c>
      <c r="D59" s="398" t="s">
        <v>210</v>
      </c>
      <c r="E59" s="398"/>
      <c r="F59" s="273">
        <f>K41</f>
        <v>0</v>
      </c>
      <c r="G59" s="263" t="s">
        <v>209</v>
      </c>
      <c r="H59" s="264"/>
      <c r="I59" s="274">
        <f>C59*F59</f>
        <v>0</v>
      </c>
      <c r="J59" s="289" t="s">
        <v>208</v>
      </c>
      <c r="K59" s="14"/>
      <c r="L59" s="14"/>
      <c r="M59" s="14"/>
      <c r="N59" s="14"/>
      <c r="O59" s="265"/>
      <c r="P59" s="264"/>
      <c r="Q59" s="264"/>
      <c r="R59" s="53"/>
      <c r="S59" s="53"/>
      <c r="T59" s="53"/>
      <c r="U59" s="53"/>
    </row>
    <row r="60" spans="1:22">
      <c r="A60" s="452"/>
      <c r="B60" s="264"/>
      <c r="C60" s="257"/>
      <c r="D60" s="398"/>
      <c r="E60" s="398"/>
      <c r="F60" s="482"/>
      <c r="G60" s="263"/>
      <c r="H60" s="275"/>
      <c r="I60" s="263"/>
      <c r="J60" s="14"/>
      <c r="K60" s="14"/>
      <c r="L60" s="14"/>
      <c r="M60" s="14"/>
      <c r="N60" s="14"/>
      <c r="O60" s="265"/>
      <c r="P60" s="264"/>
      <c r="Q60" s="264"/>
    </row>
    <row r="61" spans="1:22" ht="15.75">
      <c r="A61" s="400" t="s">
        <v>16</v>
      </c>
      <c r="B61" s="350" t="s">
        <v>207</v>
      </c>
      <c r="C61" s="353"/>
      <c r="D61" s="241"/>
      <c r="E61" s="241"/>
      <c r="F61" s="353"/>
      <c r="G61" s="353"/>
      <c r="H61" s="353"/>
      <c r="I61" s="353"/>
      <c r="J61" s="353"/>
      <c r="K61" s="353"/>
      <c r="L61" s="353"/>
      <c r="M61" s="353"/>
      <c r="N61" s="353"/>
      <c r="O61" s="355"/>
      <c r="P61" s="14"/>
      <c r="Q61" s="264"/>
      <c r="R61" s="53"/>
      <c r="S61" s="53"/>
      <c r="T61" s="53"/>
      <c r="U61" s="53"/>
    </row>
    <row r="62" spans="1:22">
      <c r="A62" s="431"/>
      <c r="B62" s="13" t="s">
        <v>206</v>
      </c>
      <c r="C62" s="264"/>
      <c r="D62" s="398"/>
      <c r="E62" s="398"/>
      <c r="F62" s="264"/>
      <c r="G62" s="264"/>
      <c r="H62" s="264"/>
      <c r="I62" s="264"/>
      <c r="J62" s="264"/>
      <c r="K62" s="264"/>
      <c r="L62" s="264"/>
      <c r="M62" s="264"/>
      <c r="N62" s="264"/>
      <c r="O62" s="256"/>
      <c r="P62" s="14"/>
      <c r="Q62" s="264"/>
    </row>
    <row r="63" spans="1:22" ht="13.5" thickBot="1">
      <c r="A63" s="431"/>
      <c r="B63" s="13"/>
      <c r="C63" s="264"/>
      <c r="D63" s="398"/>
      <c r="E63" s="398"/>
      <c r="F63" s="264"/>
      <c r="G63" s="264"/>
      <c r="H63" s="264"/>
      <c r="I63" s="264"/>
      <c r="J63" s="264"/>
      <c r="K63" s="264"/>
      <c r="L63" s="264"/>
      <c r="M63" s="264"/>
      <c r="N63" s="264"/>
      <c r="O63" s="256"/>
      <c r="P63" s="14"/>
      <c r="Q63" s="264"/>
    </row>
    <row r="64" spans="1:22" s="14" customFormat="1" ht="13.5" thickBot="1">
      <c r="A64" s="452"/>
      <c r="B64" s="264" t="s">
        <v>205</v>
      </c>
      <c r="C64" s="264"/>
      <c r="D64" s="272">
        <f>I59</f>
        <v>0</v>
      </c>
      <c r="E64" s="483"/>
      <c r="F64" s="271" t="s">
        <v>204</v>
      </c>
      <c r="G64" s="266">
        <f>J7</f>
        <v>0</v>
      </c>
      <c r="H64" s="263" t="s">
        <v>79</v>
      </c>
      <c r="I64" s="451">
        <f>IF(D64=0,0,D64/G64)</f>
        <v>0</v>
      </c>
      <c r="J64" s="264" t="s">
        <v>203</v>
      </c>
      <c r="K64" s="264"/>
      <c r="L64" s="264"/>
      <c r="M64" s="264"/>
      <c r="N64" s="264"/>
      <c r="O64" s="256"/>
      <c r="P64" s="264"/>
    </row>
    <row r="65" spans="1:21" s="14" customFormat="1" ht="49.5" customHeight="1">
      <c r="A65" s="452"/>
      <c r="B65" s="264"/>
      <c r="C65" s="264"/>
      <c r="D65" s="483"/>
      <c r="E65" s="483"/>
      <c r="F65" s="271"/>
      <c r="G65" s="257"/>
      <c r="H65" s="263"/>
      <c r="I65" s="482"/>
      <c r="J65" s="264"/>
      <c r="K65" s="264"/>
      <c r="L65" s="264"/>
      <c r="M65" s="264"/>
      <c r="N65" s="264"/>
      <c r="O65" s="256"/>
      <c r="P65" s="264"/>
    </row>
    <row r="66" spans="1:21" s="14" customFormat="1" ht="15.75">
      <c r="A66" s="400" t="s">
        <v>13</v>
      </c>
      <c r="B66" s="350" t="s">
        <v>201</v>
      </c>
      <c r="C66" s="353"/>
      <c r="D66" s="514"/>
      <c r="E66" s="514"/>
      <c r="F66" s="350"/>
      <c r="G66" s="350"/>
      <c r="H66" s="350"/>
      <c r="I66" s="350"/>
      <c r="J66" s="350"/>
      <c r="K66" s="350"/>
      <c r="L66" s="350"/>
      <c r="M66" s="350"/>
      <c r="N66" s="350"/>
      <c r="O66" s="355"/>
      <c r="P66" s="264"/>
    </row>
    <row r="67" spans="1:21" s="14" customFormat="1">
      <c r="A67" s="431"/>
      <c r="B67" s="13" t="s">
        <v>200</v>
      </c>
      <c r="C67" s="256"/>
      <c r="D67" s="453"/>
      <c r="E67" s="453"/>
      <c r="O67" s="256"/>
      <c r="P67" s="264"/>
    </row>
    <row r="68" spans="1:21" s="14" customFormat="1">
      <c r="A68" s="431"/>
      <c r="C68" s="256"/>
      <c r="D68" s="453"/>
      <c r="E68" s="453"/>
      <c r="O68" s="256"/>
      <c r="P68" s="264"/>
    </row>
    <row r="69" spans="1:21" s="14" customFormat="1">
      <c r="A69" s="431"/>
      <c r="B69" s="269" t="s">
        <v>170</v>
      </c>
      <c r="C69" s="484" t="s">
        <v>196</v>
      </c>
      <c r="D69" s="453"/>
      <c r="E69" s="453"/>
      <c r="O69" s="256"/>
      <c r="P69" s="264"/>
    </row>
    <row r="70" spans="1:21" s="14" customFormat="1" ht="13.5" thickBot="1">
      <c r="A70" s="431"/>
      <c r="B70" s="270"/>
      <c r="C70" s="289"/>
      <c r="D70" s="453"/>
      <c r="E70" s="453"/>
      <c r="O70" s="256"/>
      <c r="P70" s="264"/>
    </row>
    <row r="71" spans="1:21" s="14" customFormat="1" ht="13.5" thickBot="1">
      <c r="A71" s="452"/>
      <c r="B71" s="270"/>
      <c r="C71" s="398"/>
      <c r="D71" s="272">
        <f>J8</f>
        <v>0</v>
      </c>
      <c r="E71" s="414"/>
      <c r="F71" s="256" t="s">
        <v>195</v>
      </c>
      <c r="G71" s="273">
        <f>I64</f>
        <v>0</v>
      </c>
      <c r="H71" s="256" t="s">
        <v>194</v>
      </c>
      <c r="I71" s="263"/>
      <c r="J71" s="274">
        <f>IF(D71=0,0,D71*G71)</f>
        <v>0</v>
      </c>
      <c r="K71" s="264" t="s">
        <v>183</v>
      </c>
      <c r="L71" s="264"/>
      <c r="M71" s="264"/>
      <c r="N71" s="264"/>
      <c r="O71" s="256"/>
      <c r="P71" s="264"/>
    </row>
    <row r="72" spans="1:21" s="14" customFormat="1">
      <c r="A72" s="452"/>
      <c r="B72" s="270"/>
      <c r="C72" s="398"/>
      <c r="D72" s="275"/>
      <c r="E72" s="414"/>
      <c r="F72" s="256"/>
      <c r="G72" s="482"/>
      <c r="H72" s="256"/>
      <c r="I72" s="263"/>
      <c r="J72" s="275"/>
      <c r="K72" s="264"/>
      <c r="L72" s="264"/>
      <c r="M72" s="264"/>
      <c r="N72" s="264"/>
      <c r="O72" s="256"/>
      <c r="P72" s="264"/>
    </row>
    <row r="73" spans="1:21" s="14" customFormat="1" ht="13.5" thickBot="1">
      <c r="A73" s="452"/>
      <c r="B73" s="270"/>
      <c r="C73" s="289" t="s">
        <v>199</v>
      </c>
      <c r="D73" s="485"/>
      <c r="E73" s="485"/>
      <c r="F73" s="256"/>
      <c r="G73" s="256"/>
      <c r="H73" s="256"/>
      <c r="I73" s="257"/>
      <c r="J73" s="256"/>
      <c r="K73" s="264"/>
      <c r="L73" s="264"/>
      <c r="M73" s="264"/>
      <c r="N73" s="264"/>
      <c r="O73" s="256"/>
      <c r="P73" s="264"/>
      <c r="R73" s="58"/>
      <c r="S73" s="58"/>
      <c r="T73" s="58"/>
      <c r="U73" s="58"/>
    </row>
    <row r="74" spans="1:21" s="14" customFormat="1" ht="13.5" thickBot="1">
      <c r="A74" s="452"/>
      <c r="B74" s="256"/>
      <c r="C74" s="256"/>
      <c r="D74" s="272">
        <f>J71</f>
        <v>0</v>
      </c>
      <c r="E74" s="483"/>
      <c r="F74" s="264" t="s">
        <v>192</v>
      </c>
      <c r="G74" s="273">
        <f>K42</f>
        <v>0</v>
      </c>
      <c r="H74" s="263" t="s">
        <v>191</v>
      </c>
      <c r="I74" s="486">
        <f>IF(D74=0,0,ROUNDUP((D74/G74),0))</f>
        <v>0</v>
      </c>
      <c r="J74" s="264" t="s">
        <v>667</v>
      </c>
      <c r="K74" s="264"/>
      <c r="L74" s="264"/>
      <c r="M74" s="264"/>
      <c r="N74" s="264"/>
      <c r="O74" s="256"/>
      <c r="P74" s="264"/>
      <c r="R74" s="58"/>
      <c r="S74" s="58"/>
      <c r="T74" s="58"/>
      <c r="U74" s="58"/>
    </row>
    <row r="75" spans="1:21" s="14" customFormat="1">
      <c r="A75" s="452"/>
      <c r="B75" s="256"/>
      <c r="C75" s="256"/>
      <c r="D75" s="275"/>
      <c r="E75" s="483"/>
      <c r="F75" s="264"/>
      <c r="G75" s="482"/>
      <c r="H75" s="263"/>
      <c r="I75" s="487"/>
      <c r="J75" s="264"/>
      <c r="K75" s="264"/>
      <c r="L75" s="264"/>
      <c r="M75" s="264"/>
      <c r="N75" s="264"/>
      <c r="O75" s="256"/>
      <c r="P75" s="264"/>
      <c r="R75" s="58"/>
      <c r="S75" s="58"/>
      <c r="T75" s="58"/>
      <c r="U75" s="58"/>
    </row>
    <row r="76" spans="1:21" s="14" customFormat="1">
      <c r="A76" s="452"/>
      <c r="B76" s="264"/>
      <c r="C76" s="264" t="s">
        <v>190</v>
      </c>
      <c r="D76" s="414"/>
      <c r="E76" s="414"/>
      <c r="F76" s="264"/>
      <c r="G76" s="264"/>
      <c r="H76" s="264"/>
      <c r="I76" s="264"/>
      <c r="J76" s="256"/>
      <c r="K76" s="260"/>
      <c r="L76" s="260"/>
      <c r="M76" s="256"/>
      <c r="N76" s="256"/>
      <c r="O76" s="256"/>
      <c r="P76" s="264"/>
      <c r="R76" s="58"/>
      <c r="S76" s="58"/>
      <c r="T76" s="58"/>
      <c r="U76" s="58"/>
    </row>
    <row r="77" spans="1:21" s="14" customFormat="1" ht="13.5" thickBot="1">
      <c r="A77" s="452"/>
      <c r="B77" s="264"/>
      <c r="C77" s="264"/>
      <c r="D77" s="414"/>
      <c r="E77" s="414"/>
      <c r="F77" s="264"/>
      <c r="G77" s="264"/>
      <c r="H77" s="264"/>
      <c r="I77" s="264"/>
      <c r="J77" s="256"/>
      <c r="K77" s="260"/>
      <c r="L77" s="260"/>
      <c r="M77" s="256"/>
      <c r="N77" s="256"/>
      <c r="O77" s="256"/>
      <c r="P77" s="264"/>
      <c r="R77" s="58"/>
      <c r="S77" s="58"/>
      <c r="T77" s="58"/>
      <c r="U77" s="58"/>
    </row>
    <row r="78" spans="1:21" s="14" customFormat="1" ht="13.5" thickBot="1">
      <c r="A78" s="452"/>
      <c r="B78" s="398" t="s">
        <v>36</v>
      </c>
      <c r="C78" s="266">
        <f>J8</f>
        <v>0</v>
      </c>
      <c r="D78" s="398" t="s">
        <v>189</v>
      </c>
      <c r="E78" s="398"/>
      <c r="F78" s="276">
        <f>I74</f>
        <v>0</v>
      </c>
      <c r="G78" s="264" t="s">
        <v>188</v>
      </c>
      <c r="H78" s="264"/>
      <c r="I78" s="274">
        <f>IF(C78=0,0,(C78-2)/(F78-1))</f>
        <v>0</v>
      </c>
      <c r="J78" s="256" t="s">
        <v>128</v>
      </c>
      <c r="K78" s="260"/>
      <c r="L78" s="260"/>
      <c r="M78" s="256"/>
      <c r="N78" s="256"/>
      <c r="O78" s="256"/>
      <c r="P78" s="264"/>
      <c r="R78" s="58"/>
      <c r="S78" s="58"/>
      <c r="T78" s="58"/>
      <c r="U78" s="58"/>
    </row>
    <row r="79" spans="1:21">
      <c r="A79" s="452"/>
      <c r="B79" s="256"/>
      <c r="C79" s="256"/>
      <c r="D79" s="414"/>
      <c r="E79" s="414"/>
      <c r="F79" s="256"/>
      <c r="G79" s="256"/>
      <c r="H79" s="256"/>
      <c r="I79" s="257"/>
      <c r="J79" s="256"/>
      <c r="K79" s="256"/>
      <c r="L79" s="256"/>
      <c r="M79" s="256"/>
      <c r="N79" s="256"/>
      <c r="O79" s="265"/>
      <c r="P79" s="14"/>
      <c r="Q79" s="264"/>
      <c r="R79" s="53"/>
      <c r="S79" s="53"/>
      <c r="T79" s="53"/>
      <c r="U79" s="53"/>
    </row>
    <row r="80" spans="1:21">
      <c r="A80" s="452"/>
      <c r="B80" s="269" t="s">
        <v>169</v>
      </c>
      <c r="C80" s="484" t="s">
        <v>196</v>
      </c>
      <c r="D80" s="453"/>
      <c r="E80" s="453"/>
      <c r="F80" s="14"/>
      <c r="G80" s="14"/>
      <c r="H80" s="14"/>
      <c r="I80" s="14"/>
      <c r="J80" s="14"/>
      <c r="K80" s="256"/>
      <c r="L80" s="256"/>
      <c r="M80" s="256"/>
      <c r="N80" s="256"/>
      <c r="O80" s="265"/>
      <c r="P80" s="14"/>
      <c r="Q80" s="264"/>
      <c r="R80" s="53"/>
      <c r="S80" s="53"/>
      <c r="T80" s="53"/>
      <c r="U80" s="53"/>
    </row>
    <row r="81" spans="1:21" ht="13.5" thickBot="1">
      <c r="A81" s="452"/>
      <c r="B81" s="270"/>
      <c r="C81" s="289"/>
      <c r="D81" s="453"/>
      <c r="E81" s="453"/>
      <c r="F81" s="14"/>
      <c r="G81" s="14"/>
      <c r="H81" s="14"/>
      <c r="I81" s="14"/>
      <c r="J81" s="14"/>
      <c r="K81" s="256"/>
      <c r="L81" s="256"/>
      <c r="M81" s="256"/>
      <c r="N81" s="256"/>
      <c r="O81" s="265"/>
      <c r="P81" s="14"/>
      <c r="Q81" s="264"/>
      <c r="R81" s="53"/>
      <c r="S81" s="53"/>
      <c r="T81" s="53"/>
      <c r="U81" s="53"/>
    </row>
    <row r="82" spans="1:21" ht="14.25" customHeight="1" thickBot="1">
      <c r="A82" s="452"/>
      <c r="B82" s="270"/>
      <c r="C82" s="398"/>
      <c r="D82" s="272">
        <f>J9</f>
        <v>0</v>
      </c>
      <c r="E82" s="483"/>
      <c r="F82" s="256" t="s">
        <v>195</v>
      </c>
      <c r="G82" s="273">
        <f>I64</f>
        <v>0</v>
      </c>
      <c r="H82" s="256" t="s">
        <v>194</v>
      </c>
      <c r="I82" s="263"/>
      <c r="J82" s="274">
        <f>IF(D82=0,0,D82*G82)</f>
        <v>0</v>
      </c>
      <c r="K82" s="256"/>
      <c r="L82" s="256"/>
      <c r="M82" s="256"/>
      <c r="N82" s="256"/>
      <c r="O82" s="265"/>
      <c r="P82" s="14"/>
      <c r="Q82" s="264"/>
      <c r="R82" s="53"/>
      <c r="S82" s="53"/>
      <c r="T82" s="53"/>
      <c r="U82" s="53"/>
    </row>
    <row r="83" spans="1:21" ht="14.25" customHeight="1">
      <c r="A83" s="452"/>
      <c r="B83" s="270"/>
      <c r="C83" s="398"/>
      <c r="D83" s="275"/>
      <c r="E83" s="483"/>
      <c r="F83" s="256"/>
      <c r="G83" s="482"/>
      <c r="H83" s="256"/>
      <c r="I83" s="263"/>
      <c r="J83" s="275"/>
      <c r="K83" s="256"/>
      <c r="L83" s="256"/>
      <c r="M83" s="256"/>
      <c r="N83" s="256"/>
      <c r="O83" s="265"/>
      <c r="P83" s="14"/>
      <c r="Q83" s="264"/>
      <c r="R83" s="53"/>
      <c r="S83" s="53"/>
      <c r="T83" s="53"/>
      <c r="U83" s="53"/>
    </row>
    <row r="84" spans="1:21">
      <c r="A84" s="452"/>
      <c r="B84" s="270"/>
      <c r="C84" s="289" t="s">
        <v>198</v>
      </c>
      <c r="D84" s="485"/>
      <c r="E84" s="485"/>
      <c r="F84" s="256"/>
      <c r="G84" s="256"/>
      <c r="H84" s="256"/>
      <c r="I84" s="257"/>
      <c r="J84" s="256"/>
      <c r="K84" s="260"/>
      <c r="L84" s="260"/>
      <c r="M84" s="256"/>
      <c r="N84" s="256"/>
      <c r="O84" s="265"/>
      <c r="P84" s="14"/>
      <c r="Q84" s="264"/>
      <c r="R84" s="53"/>
      <c r="S84" s="53"/>
      <c r="T84" s="53"/>
      <c r="U84" s="53"/>
    </row>
    <row r="85" spans="1:21" ht="13.5" thickBot="1">
      <c r="A85" s="452"/>
      <c r="B85" s="270"/>
      <c r="C85" s="289"/>
      <c r="D85" s="485"/>
      <c r="E85" s="485"/>
      <c r="F85" s="256"/>
      <c r="G85" s="256"/>
      <c r="H85" s="256"/>
      <c r="I85" s="257"/>
      <c r="J85" s="256"/>
      <c r="K85" s="260"/>
      <c r="L85" s="260"/>
      <c r="M85" s="256"/>
      <c r="N85" s="256"/>
      <c r="O85" s="265"/>
      <c r="P85" s="14"/>
      <c r="Q85" s="264"/>
      <c r="R85" s="53"/>
      <c r="S85" s="53"/>
      <c r="T85" s="53"/>
      <c r="U85" s="53"/>
    </row>
    <row r="86" spans="1:21" s="14" customFormat="1" ht="13.5" thickBot="1">
      <c r="A86" s="452"/>
      <c r="B86" s="256"/>
      <c r="C86" s="256"/>
      <c r="D86" s="272">
        <f>J82</f>
        <v>0</v>
      </c>
      <c r="E86" s="488"/>
      <c r="F86" s="264" t="s">
        <v>192</v>
      </c>
      <c r="G86" s="273">
        <f>K43</f>
        <v>0</v>
      </c>
      <c r="H86" s="263" t="s">
        <v>191</v>
      </c>
      <c r="I86" s="278">
        <f>IF(D86=0,0,ROUNDUP((D86/G86),0))</f>
        <v>0</v>
      </c>
      <c r="J86" s="264" t="s">
        <v>667</v>
      </c>
      <c r="K86" s="264"/>
      <c r="L86" s="489"/>
      <c r="M86" s="256"/>
      <c r="N86" s="256"/>
      <c r="O86" s="256"/>
      <c r="P86" s="264"/>
      <c r="R86" s="58"/>
      <c r="S86" s="58"/>
      <c r="T86" s="58"/>
      <c r="U86" s="58"/>
    </row>
    <row r="87" spans="1:21" s="14" customFormat="1">
      <c r="A87" s="452"/>
      <c r="B87" s="256"/>
      <c r="C87" s="256"/>
      <c r="D87" s="275"/>
      <c r="E87" s="488"/>
      <c r="F87" s="264"/>
      <c r="G87" s="482"/>
      <c r="H87" s="263"/>
      <c r="I87" s="487"/>
      <c r="J87" s="264"/>
      <c r="K87" s="264"/>
      <c r="L87" s="489"/>
      <c r="M87" s="256"/>
      <c r="N87" s="256"/>
      <c r="O87" s="256"/>
      <c r="P87" s="264"/>
      <c r="R87" s="58"/>
      <c r="S87" s="58"/>
      <c r="T87" s="58"/>
      <c r="U87" s="58"/>
    </row>
    <row r="88" spans="1:21" s="14" customFormat="1">
      <c r="A88" s="452"/>
      <c r="B88" s="264"/>
      <c r="C88" s="264" t="s">
        <v>190</v>
      </c>
      <c r="D88" s="414"/>
      <c r="E88" s="414"/>
      <c r="F88" s="264"/>
      <c r="G88" s="264"/>
      <c r="H88" s="264"/>
      <c r="I88" s="264"/>
      <c r="J88" s="256"/>
      <c r="K88" s="256"/>
      <c r="L88" s="256"/>
      <c r="M88" s="256"/>
      <c r="N88" s="256"/>
      <c r="O88" s="256"/>
      <c r="P88" s="264"/>
      <c r="R88" s="58"/>
      <c r="S88" s="58"/>
      <c r="T88" s="58"/>
      <c r="U88" s="58"/>
    </row>
    <row r="89" spans="1:21" s="14" customFormat="1" ht="13.5" thickBot="1">
      <c r="A89" s="452"/>
      <c r="B89" s="264"/>
      <c r="C89" s="264"/>
      <c r="D89" s="414"/>
      <c r="E89" s="414"/>
      <c r="F89" s="264"/>
      <c r="G89" s="264"/>
      <c r="H89" s="264"/>
      <c r="I89" s="264"/>
      <c r="J89" s="256"/>
      <c r="K89" s="256"/>
      <c r="L89" s="256"/>
      <c r="M89" s="256"/>
      <c r="N89" s="256"/>
      <c r="O89" s="256"/>
      <c r="P89" s="264"/>
      <c r="R89" s="58"/>
      <c r="S89" s="58"/>
      <c r="T89" s="58"/>
      <c r="U89" s="58"/>
    </row>
    <row r="90" spans="1:21" ht="13.5" thickBot="1">
      <c r="A90" s="452"/>
      <c r="B90" s="398" t="s">
        <v>36</v>
      </c>
      <c r="C90" s="272">
        <f>D82</f>
        <v>0</v>
      </c>
      <c r="D90" s="398" t="s">
        <v>189</v>
      </c>
      <c r="E90" s="398"/>
      <c r="F90" s="276">
        <f>I86</f>
        <v>0</v>
      </c>
      <c r="G90" s="264" t="s">
        <v>188</v>
      </c>
      <c r="H90" s="264"/>
      <c r="I90" s="274">
        <f>IF(C90=0,0,(C90-2)/(F90-1))</f>
        <v>0</v>
      </c>
      <c r="J90" s="256" t="s">
        <v>128</v>
      </c>
      <c r="K90" s="256"/>
      <c r="L90" s="256"/>
      <c r="M90" s="256"/>
      <c r="N90" s="256"/>
      <c r="O90" s="256"/>
      <c r="P90" s="264"/>
      <c r="Q90" s="264"/>
      <c r="R90" s="53"/>
      <c r="S90" s="53"/>
      <c r="T90" s="53"/>
      <c r="U90" s="53"/>
    </row>
    <row r="91" spans="1:21">
      <c r="A91" s="452"/>
      <c r="B91" s="256"/>
      <c r="C91" s="256"/>
      <c r="D91" s="414"/>
      <c r="E91" s="414"/>
      <c r="F91" s="256"/>
      <c r="G91" s="256"/>
      <c r="H91" s="256"/>
      <c r="I91" s="257"/>
      <c r="J91" s="256"/>
      <c r="K91" s="256"/>
      <c r="L91" s="256"/>
      <c r="M91" s="256"/>
      <c r="N91" s="256"/>
      <c r="O91" s="256"/>
      <c r="P91" s="264"/>
      <c r="Q91" s="264"/>
      <c r="R91" s="53"/>
      <c r="S91" s="53"/>
      <c r="T91" s="53"/>
      <c r="U91" s="53"/>
    </row>
    <row r="92" spans="1:21">
      <c r="A92" s="452"/>
      <c r="B92" s="269" t="s">
        <v>168</v>
      </c>
      <c r="C92" s="484" t="s">
        <v>196</v>
      </c>
      <c r="D92" s="453"/>
      <c r="E92" s="453"/>
      <c r="F92" s="14"/>
      <c r="G92" s="14"/>
      <c r="H92" s="14"/>
      <c r="I92" s="264"/>
      <c r="J92" s="14"/>
      <c r="K92" s="260"/>
      <c r="L92" s="260"/>
      <c r="M92" s="256"/>
      <c r="N92" s="256"/>
      <c r="O92" s="256"/>
      <c r="P92" s="264"/>
      <c r="Q92" s="264"/>
      <c r="R92" s="53"/>
      <c r="S92" s="53"/>
      <c r="T92" s="53"/>
      <c r="U92" s="53"/>
    </row>
    <row r="93" spans="1:21" ht="13.5" thickBot="1">
      <c r="A93" s="452"/>
      <c r="B93" s="269"/>
      <c r="C93" s="289"/>
      <c r="D93" s="453"/>
      <c r="E93" s="453"/>
      <c r="F93" s="14"/>
      <c r="G93" s="14"/>
      <c r="H93" s="14"/>
      <c r="I93" s="14"/>
      <c r="J93" s="14"/>
      <c r="K93" s="260"/>
      <c r="L93" s="260"/>
      <c r="M93" s="256"/>
      <c r="N93" s="256"/>
      <c r="O93" s="256"/>
      <c r="P93" s="264"/>
      <c r="Q93" s="264"/>
      <c r="R93" s="53"/>
      <c r="S93" s="53"/>
      <c r="T93" s="53"/>
      <c r="U93" s="53"/>
    </row>
    <row r="94" spans="1:21" ht="14.25" customHeight="1" thickBot="1">
      <c r="A94" s="452"/>
      <c r="B94" s="270"/>
      <c r="C94" s="398"/>
      <c r="D94" s="272">
        <f>J10</f>
        <v>0</v>
      </c>
      <c r="E94" s="414"/>
      <c r="F94" s="256" t="s">
        <v>195</v>
      </c>
      <c r="G94" s="490">
        <f>I64</f>
        <v>0</v>
      </c>
      <c r="H94" s="256" t="s">
        <v>194</v>
      </c>
      <c r="I94" s="263"/>
      <c r="J94" s="274">
        <f>IF(D94=0,0,D94*G94)</f>
        <v>0</v>
      </c>
      <c r="K94" s="260"/>
      <c r="L94" s="260"/>
      <c r="M94" s="256"/>
      <c r="N94" s="256"/>
      <c r="O94" s="256"/>
      <c r="P94" s="264"/>
      <c r="Q94" s="264"/>
      <c r="R94" s="53"/>
      <c r="S94" s="53"/>
      <c r="T94" s="53"/>
      <c r="U94" s="53"/>
    </row>
    <row r="95" spans="1:21" ht="14.25" customHeight="1">
      <c r="A95" s="452"/>
      <c r="B95" s="270"/>
      <c r="C95" s="398"/>
      <c r="D95" s="275"/>
      <c r="E95" s="414"/>
      <c r="F95" s="256"/>
      <c r="G95" s="491"/>
      <c r="H95" s="256"/>
      <c r="I95" s="263"/>
      <c r="J95" s="275"/>
      <c r="K95" s="260"/>
      <c r="L95" s="260"/>
      <c r="M95" s="256"/>
      <c r="N95" s="256"/>
      <c r="O95" s="256"/>
      <c r="P95" s="264"/>
      <c r="Q95" s="264"/>
      <c r="R95" s="53"/>
      <c r="S95" s="53"/>
      <c r="T95" s="53"/>
      <c r="U95" s="53"/>
    </row>
    <row r="96" spans="1:21">
      <c r="A96" s="452"/>
      <c r="B96" s="270"/>
      <c r="C96" s="289" t="s">
        <v>197</v>
      </c>
      <c r="D96" s="485"/>
      <c r="E96" s="485"/>
      <c r="F96" s="256"/>
      <c r="G96" s="256"/>
      <c r="H96" s="256"/>
      <c r="I96" s="257"/>
      <c r="J96" s="256"/>
      <c r="K96" s="260"/>
      <c r="L96" s="260"/>
      <c r="M96" s="256"/>
      <c r="N96" s="256"/>
      <c r="O96" s="256"/>
      <c r="P96" s="264"/>
      <c r="Q96" s="264"/>
      <c r="R96" s="53"/>
      <c r="S96" s="53"/>
      <c r="T96" s="53"/>
      <c r="U96" s="53"/>
    </row>
    <row r="97" spans="1:21" ht="13.5" thickBot="1">
      <c r="A97" s="452"/>
      <c r="B97" s="270"/>
      <c r="C97" s="289"/>
      <c r="D97" s="485"/>
      <c r="E97" s="485"/>
      <c r="F97" s="256"/>
      <c r="G97" s="256"/>
      <c r="H97" s="256"/>
      <c r="I97" s="257"/>
      <c r="J97" s="256"/>
      <c r="K97" s="260"/>
      <c r="L97" s="260"/>
      <c r="M97" s="256"/>
      <c r="N97" s="256"/>
      <c r="O97" s="256"/>
      <c r="P97" s="264"/>
      <c r="Q97" s="264"/>
      <c r="R97" s="53"/>
      <c r="S97" s="53"/>
      <c r="T97" s="53"/>
      <c r="U97" s="53"/>
    </row>
    <row r="98" spans="1:21" ht="13.5" thickBot="1">
      <c r="A98" s="264"/>
      <c r="B98" s="256"/>
      <c r="C98" s="256"/>
      <c r="D98" s="272">
        <f>J94</f>
        <v>0</v>
      </c>
      <c r="E98" s="414"/>
      <c r="F98" s="264" t="s">
        <v>192</v>
      </c>
      <c r="G98" s="273">
        <f>K44</f>
        <v>0</v>
      </c>
      <c r="H98" s="263" t="s">
        <v>191</v>
      </c>
      <c r="I98" s="278">
        <f>IF(D98=0,0,ROUNDUP((D98/G98),0))</f>
        <v>0</v>
      </c>
      <c r="J98" s="264" t="s">
        <v>667</v>
      </c>
      <c r="K98" s="264"/>
      <c r="L98" s="270"/>
      <c r="M98" s="256"/>
      <c r="N98" s="256"/>
      <c r="O98" s="256"/>
      <c r="P98" s="264"/>
      <c r="Q98" s="264"/>
      <c r="R98" s="53"/>
      <c r="S98" s="53"/>
      <c r="T98" s="53"/>
      <c r="U98" s="53"/>
    </row>
    <row r="99" spans="1:21">
      <c r="A99" s="264"/>
      <c r="B99" s="256"/>
      <c r="C99" s="256"/>
      <c r="D99" s="275"/>
      <c r="E99" s="414"/>
      <c r="F99" s="264"/>
      <c r="G99" s="482"/>
      <c r="H99" s="263"/>
      <c r="I99" s="487"/>
      <c r="J99" s="264"/>
      <c r="K99" s="264"/>
      <c r="L99" s="270"/>
      <c r="M99" s="256"/>
      <c r="N99" s="256"/>
      <c r="O99" s="256"/>
      <c r="P99" s="264"/>
      <c r="Q99" s="264"/>
      <c r="R99" s="53"/>
      <c r="S99" s="53"/>
      <c r="T99" s="53"/>
      <c r="U99" s="53"/>
    </row>
    <row r="100" spans="1:21">
      <c r="A100" s="264"/>
      <c r="B100" s="264"/>
      <c r="C100" s="264" t="s">
        <v>190</v>
      </c>
      <c r="D100" s="414"/>
      <c r="E100" s="414"/>
      <c r="F100" s="264"/>
      <c r="G100" s="264"/>
      <c r="H100" s="264"/>
      <c r="I100" s="264"/>
      <c r="J100" s="256"/>
      <c r="K100" s="256"/>
      <c r="L100" s="256"/>
      <c r="M100" s="256"/>
      <c r="N100" s="256"/>
      <c r="O100" s="256"/>
      <c r="P100" s="264"/>
      <c r="Q100" s="264"/>
      <c r="R100" s="53"/>
      <c r="S100" s="53"/>
      <c r="T100" s="53"/>
      <c r="U100" s="53"/>
    </row>
    <row r="101" spans="1:21" ht="13.5" thickBot="1">
      <c r="A101" s="264"/>
      <c r="B101" s="264"/>
      <c r="C101" s="264"/>
      <c r="D101" s="414"/>
      <c r="E101" s="414"/>
      <c r="F101" s="264"/>
      <c r="G101" s="264"/>
      <c r="H101" s="264"/>
      <c r="I101" s="264"/>
      <c r="J101" s="256"/>
      <c r="K101" s="256"/>
      <c r="L101" s="256"/>
      <c r="M101" s="256"/>
      <c r="N101" s="256"/>
      <c r="O101" s="256"/>
      <c r="P101" s="264"/>
      <c r="Q101" s="264"/>
      <c r="R101" s="53"/>
      <c r="S101" s="53"/>
      <c r="T101" s="53"/>
      <c r="U101" s="53"/>
    </row>
    <row r="102" spans="1:21" ht="13.5" thickBot="1">
      <c r="A102" s="264"/>
      <c r="B102" s="398" t="s">
        <v>36</v>
      </c>
      <c r="C102" s="266">
        <f>D94</f>
        <v>0</v>
      </c>
      <c r="D102" s="398" t="s">
        <v>189</v>
      </c>
      <c r="E102" s="398"/>
      <c r="F102" s="276">
        <f>I98</f>
        <v>0</v>
      </c>
      <c r="G102" s="264" t="s">
        <v>188</v>
      </c>
      <c r="H102" s="264"/>
      <c r="I102" s="274">
        <f>IF(C102=0,0,(C102-2)/(F102-1))</f>
        <v>0</v>
      </c>
      <c r="J102" s="256" t="s">
        <v>128</v>
      </c>
      <c r="K102" s="264"/>
      <c r="L102" s="264"/>
      <c r="M102" s="264"/>
      <c r="N102" s="264"/>
      <c r="O102" s="256"/>
      <c r="P102" s="264"/>
      <c r="Q102" s="264"/>
      <c r="R102" s="53"/>
      <c r="S102" s="53"/>
      <c r="T102" s="53"/>
      <c r="U102" s="53"/>
    </row>
    <row r="103" spans="1:21">
      <c r="A103" s="264"/>
      <c r="B103" s="414"/>
      <c r="C103" s="256"/>
      <c r="D103" s="414"/>
      <c r="E103" s="414"/>
      <c r="F103" s="256"/>
      <c r="G103" s="256"/>
      <c r="H103" s="256"/>
      <c r="I103" s="256"/>
      <c r="J103" s="256"/>
      <c r="K103" s="264"/>
      <c r="L103" s="264"/>
      <c r="M103" s="264"/>
      <c r="N103" s="264"/>
      <c r="O103" s="256"/>
      <c r="P103" s="264"/>
      <c r="Q103" s="264"/>
      <c r="R103" s="53"/>
      <c r="S103" s="53"/>
      <c r="T103" s="53"/>
      <c r="U103" s="53"/>
    </row>
    <row r="104" spans="1:21">
      <c r="A104" s="264"/>
      <c r="B104" s="269" t="s">
        <v>167</v>
      </c>
      <c r="C104" s="484" t="s">
        <v>196</v>
      </c>
      <c r="D104" s="453"/>
      <c r="E104" s="453"/>
      <c r="F104" s="14"/>
      <c r="G104" s="14"/>
      <c r="H104" s="14"/>
      <c r="I104" s="14"/>
      <c r="J104" s="14"/>
      <c r="K104" s="264"/>
      <c r="L104" s="264"/>
      <c r="M104" s="264"/>
      <c r="N104" s="264"/>
      <c r="O104" s="256"/>
      <c r="P104" s="264"/>
      <c r="Q104" s="264"/>
      <c r="R104" s="53"/>
      <c r="S104" s="53"/>
      <c r="T104" s="53"/>
      <c r="U104" s="53"/>
    </row>
    <row r="105" spans="1:21" ht="13.5" thickBot="1">
      <c r="A105" s="264"/>
      <c r="B105" s="269"/>
      <c r="C105" s="289"/>
      <c r="D105" s="453"/>
      <c r="E105" s="453"/>
      <c r="F105" s="14"/>
      <c r="G105" s="14"/>
      <c r="H105" s="14"/>
      <c r="I105" s="14"/>
      <c r="J105" s="14"/>
      <c r="K105" s="264"/>
      <c r="L105" s="264"/>
      <c r="M105" s="264"/>
      <c r="N105" s="264"/>
      <c r="O105" s="256"/>
      <c r="P105" s="264"/>
      <c r="Q105" s="264"/>
      <c r="R105" s="53"/>
      <c r="S105" s="53"/>
      <c r="T105" s="53"/>
      <c r="U105" s="53"/>
    </row>
    <row r="106" spans="1:21" ht="16.5" customHeight="1" thickBot="1">
      <c r="A106" s="264"/>
      <c r="B106" s="270"/>
      <c r="C106" s="398"/>
      <c r="D106" s="272">
        <f>J11</f>
        <v>0</v>
      </c>
      <c r="E106" s="414"/>
      <c r="F106" s="256" t="s">
        <v>195</v>
      </c>
      <c r="G106" s="490">
        <f>I64</f>
        <v>0</v>
      </c>
      <c r="H106" s="256" t="s">
        <v>194</v>
      </c>
      <c r="I106" s="263"/>
      <c r="J106" s="274">
        <f>IF(D106=0,0,D106*G106)</f>
        <v>0</v>
      </c>
      <c r="K106" s="264"/>
      <c r="L106" s="264"/>
      <c r="M106" s="264"/>
      <c r="N106" s="264"/>
      <c r="O106" s="256"/>
      <c r="P106" s="264"/>
      <c r="Q106" s="264"/>
      <c r="R106" s="53"/>
      <c r="S106" s="53"/>
      <c r="T106" s="53"/>
      <c r="U106" s="53"/>
    </row>
    <row r="107" spans="1:21" ht="16.5" customHeight="1">
      <c r="A107" s="264"/>
      <c r="B107" s="270"/>
      <c r="C107" s="398"/>
      <c r="D107" s="275"/>
      <c r="E107" s="414"/>
      <c r="F107" s="256"/>
      <c r="G107" s="491"/>
      <c r="H107" s="256"/>
      <c r="I107" s="263"/>
      <c r="J107" s="275"/>
      <c r="K107" s="264"/>
      <c r="L107" s="264"/>
      <c r="M107" s="264"/>
      <c r="N107" s="264"/>
      <c r="O107" s="256"/>
      <c r="P107" s="264"/>
      <c r="Q107" s="264"/>
      <c r="R107" s="53"/>
      <c r="S107" s="53"/>
      <c r="T107" s="53"/>
      <c r="U107" s="53"/>
    </row>
    <row r="108" spans="1:21">
      <c r="A108" s="264"/>
      <c r="B108" s="270"/>
      <c r="C108" s="289" t="s">
        <v>193</v>
      </c>
      <c r="D108" s="485"/>
      <c r="E108" s="485"/>
      <c r="F108" s="256"/>
      <c r="G108" s="256"/>
      <c r="H108" s="256"/>
      <c r="I108" s="257"/>
      <c r="J108" s="256"/>
      <c r="K108" s="264"/>
      <c r="L108" s="264"/>
      <c r="M108" s="264"/>
      <c r="N108" s="264"/>
      <c r="O108" s="256"/>
      <c r="P108" s="264"/>
      <c r="Q108" s="264"/>
      <c r="R108" s="53"/>
      <c r="S108" s="53"/>
      <c r="T108" s="53"/>
      <c r="U108" s="53"/>
    </row>
    <row r="109" spans="1:21" ht="13.5" thickBot="1">
      <c r="A109" s="264"/>
      <c r="B109" s="270"/>
      <c r="C109" s="289"/>
      <c r="D109" s="485"/>
      <c r="E109" s="485"/>
      <c r="F109" s="256"/>
      <c r="G109" s="256"/>
      <c r="H109" s="256"/>
      <c r="I109" s="257"/>
      <c r="J109" s="256"/>
      <c r="K109" s="264"/>
      <c r="L109" s="264"/>
      <c r="M109" s="264"/>
      <c r="N109" s="264"/>
      <c r="O109" s="256"/>
      <c r="P109" s="264"/>
      <c r="Q109" s="264"/>
      <c r="R109" s="53"/>
      <c r="S109" s="53"/>
      <c r="T109" s="53"/>
      <c r="U109" s="53"/>
    </row>
    <row r="110" spans="1:21" ht="13.5" thickBot="1">
      <c r="A110" s="264"/>
      <c r="B110" s="256"/>
      <c r="C110" s="256"/>
      <c r="D110" s="266">
        <f>J106</f>
        <v>0</v>
      </c>
      <c r="E110" s="414"/>
      <c r="F110" s="264" t="s">
        <v>192</v>
      </c>
      <c r="G110" s="273">
        <f>K45</f>
        <v>0</v>
      </c>
      <c r="H110" s="263" t="s">
        <v>191</v>
      </c>
      <c r="I110" s="278">
        <f>IF(D110=0,0,ROUNDUP((D110/G110),0))</f>
        <v>0</v>
      </c>
      <c r="J110" s="264" t="s">
        <v>668</v>
      </c>
      <c r="K110" s="264"/>
      <c r="L110" s="264"/>
      <c r="M110" s="264"/>
      <c r="N110" s="264"/>
      <c r="O110" s="256"/>
      <c r="P110" s="264"/>
      <c r="Q110" s="264"/>
      <c r="R110" s="53"/>
      <c r="S110" s="53"/>
      <c r="T110" s="53"/>
      <c r="U110" s="53"/>
    </row>
    <row r="111" spans="1:21">
      <c r="A111" s="264"/>
      <c r="B111" s="256"/>
      <c r="C111" s="256"/>
      <c r="D111" s="257"/>
      <c r="E111" s="414"/>
      <c r="F111" s="264"/>
      <c r="G111" s="482"/>
      <c r="H111" s="263"/>
      <c r="I111" s="487"/>
      <c r="J111" s="264"/>
      <c r="K111" s="264"/>
      <c r="L111" s="264"/>
      <c r="M111" s="264"/>
      <c r="N111" s="264"/>
      <c r="O111" s="256"/>
      <c r="P111" s="264"/>
      <c r="Q111" s="264"/>
      <c r="R111" s="53"/>
      <c r="S111" s="53"/>
      <c r="T111" s="53"/>
      <c r="U111" s="53"/>
    </row>
    <row r="112" spans="1:21">
      <c r="A112" s="264"/>
      <c r="B112" s="264"/>
      <c r="C112" s="264" t="s">
        <v>190</v>
      </c>
      <c r="D112" s="414"/>
      <c r="E112" s="414"/>
      <c r="F112" s="264"/>
      <c r="G112" s="264"/>
      <c r="H112" s="264"/>
      <c r="I112" s="264"/>
      <c r="J112" s="256"/>
      <c r="K112" s="264"/>
      <c r="L112" s="264"/>
      <c r="M112" s="264"/>
      <c r="N112" s="264"/>
      <c r="O112" s="256"/>
      <c r="P112" s="264"/>
      <c r="Q112" s="264"/>
      <c r="R112" s="53"/>
      <c r="S112" s="53"/>
      <c r="T112" s="53"/>
      <c r="U112" s="53"/>
    </row>
    <row r="113" spans="1:21" ht="13.5" thickBot="1">
      <c r="A113" s="264"/>
      <c r="B113" s="264"/>
      <c r="C113" s="264"/>
      <c r="D113" s="414"/>
      <c r="E113" s="414"/>
      <c r="F113" s="264"/>
      <c r="G113" s="264"/>
      <c r="H113" s="264"/>
      <c r="I113" s="264"/>
      <c r="J113" s="256"/>
      <c r="K113" s="264"/>
      <c r="L113" s="264"/>
      <c r="M113" s="264"/>
      <c r="N113" s="264"/>
      <c r="O113" s="256"/>
      <c r="P113" s="264"/>
      <c r="Q113" s="264"/>
      <c r="R113" s="53"/>
      <c r="S113" s="53"/>
      <c r="T113" s="53"/>
      <c r="U113" s="53"/>
    </row>
    <row r="114" spans="1:21" ht="13.5" thickBot="1">
      <c r="A114" s="264"/>
      <c r="B114" s="398" t="s">
        <v>36</v>
      </c>
      <c r="C114" s="266">
        <f>D106</f>
        <v>0</v>
      </c>
      <c r="D114" s="398" t="s">
        <v>189</v>
      </c>
      <c r="E114" s="398"/>
      <c r="F114" s="276">
        <f>I110</f>
        <v>0</v>
      </c>
      <c r="G114" s="264" t="s">
        <v>188</v>
      </c>
      <c r="H114" s="264"/>
      <c r="I114" s="274">
        <f>IF(C114=0,0,(C114-2)/(F114-1))</f>
        <v>0</v>
      </c>
      <c r="J114" s="256" t="s">
        <v>128</v>
      </c>
      <c r="K114" s="264"/>
      <c r="L114" s="264"/>
      <c r="M114" s="264"/>
      <c r="N114" s="264"/>
      <c r="O114" s="256"/>
      <c r="P114" s="264"/>
      <c r="Q114" s="264"/>
      <c r="R114" s="53"/>
      <c r="S114" s="53"/>
      <c r="T114" s="53"/>
      <c r="U114" s="53"/>
    </row>
    <row r="115" spans="1:21">
      <c r="A115" s="264"/>
      <c r="B115" s="398"/>
      <c r="C115" s="256"/>
      <c r="D115" s="414"/>
      <c r="E115" s="414"/>
      <c r="F115" s="256"/>
      <c r="G115" s="256"/>
      <c r="H115" s="256"/>
      <c r="I115" s="256"/>
      <c r="J115" s="256"/>
      <c r="K115" s="264"/>
      <c r="L115" s="264"/>
      <c r="M115" s="264"/>
      <c r="N115" s="264"/>
      <c r="O115" s="256"/>
      <c r="P115" s="264"/>
      <c r="Q115" s="264"/>
      <c r="R115" s="53"/>
      <c r="S115" s="53"/>
      <c r="T115" s="53"/>
      <c r="U115" s="53"/>
    </row>
    <row r="116" spans="1:21" ht="21.75" customHeight="1">
      <c r="A116" s="264"/>
      <c r="B116" s="414"/>
      <c r="C116" s="256"/>
      <c r="D116" s="414"/>
      <c r="E116" s="414"/>
      <c r="F116" s="256"/>
      <c r="G116" s="256"/>
      <c r="H116" s="256"/>
      <c r="I116" s="256"/>
      <c r="J116" s="256"/>
      <c r="K116" s="264"/>
      <c r="L116" s="264"/>
      <c r="M116" s="264"/>
      <c r="N116" s="264"/>
      <c r="O116" s="256"/>
      <c r="P116" s="264"/>
      <c r="Q116" s="264"/>
      <c r="R116" s="53"/>
      <c r="S116" s="53"/>
      <c r="T116" s="53"/>
      <c r="U116" s="53"/>
    </row>
    <row r="117" spans="1:21">
      <c r="A117" s="264"/>
      <c r="B117" s="269" t="s">
        <v>166</v>
      </c>
      <c r="C117" s="484" t="s">
        <v>196</v>
      </c>
      <c r="D117" s="453"/>
      <c r="E117" s="453"/>
      <c r="F117" s="14"/>
      <c r="G117" s="14"/>
      <c r="H117" s="14"/>
      <c r="I117" s="14"/>
      <c r="J117" s="14"/>
      <c r="K117" s="264"/>
      <c r="L117" s="264"/>
      <c r="M117" s="264"/>
      <c r="N117" s="264"/>
      <c r="O117" s="256"/>
      <c r="P117" s="264"/>
      <c r="Q117" s="264"/>
      <c r="R117" s="53"/>
      <c r="S117" s="53"/>
      <c r="T117" s="53"/>
      <c r="U117" s="53"/>
    </row>
    <row r="118" spans="1:21" ht="13.5" thickBot="1">
      <c r="A118" s="264"/>
      <c r="B118" s="269"/>
      <c r="C118" s="289"/>
      <c r="D118" s="453"/>
      <c r="E118" s="453"/>
      <c r="F118" s="14"/>
      <c r="G118" s="14"/>
      <c r="H118" s="14"/>
      <c r="I118" s="14"/>
      <c r="J118" s="14"/>
      <c r="K118" s="264"/>
      <c r="L118" s="264"/>
      <c r="M118" s="264"/>
      <c r="N118" s="264"/>
      <c r="O118" s="256"/>
      <c r="P118" s="264"/>
      <c r="Q118" s="264"/>
      <c r="R118" s="53"/>
      <c r="S118" s="53"/>
      <c r="T118" s="53"/>
      <c r="U118" s="53"/>
    </row>
    <row r="119" spans="1:21" ht="13.5" thickBot="1">
      <c r="A119" s="264"/>
      <c r="B119" s="270"/>
      <c r="C119" s="398"/>
      <c r="D119" s="272">
        <f>J12</f>
        <v>0</v>
      </c>
      <c r="E119" s="414"/>
      <c r="F119" s="256" t="s">
        <v>195</v>
      </c>
      <c r="G119" s="490">
        <f>I64</f>
        <v>0</v>
      </c>
      <c r="H119" s="256" t="s">
        <v>194</v>
      </c>
      <c r="I119" s="263"/>
      <c r="J119" s="274">
        <f>IF(D119=0,0,D119*G119)</f>
        <v>0</v>
      </c>
      <c r="K119" s="264"/>
      <c r="L119" s="264"/>
      <c r="M119" s="264"/>
      <c r="N119" s="264"/>
      <c r="O119" s="256"/>
      <c r="P119" s="264"/>
      <c r="Q119" s="264"/>
      <c r="R119" s="53"/>
      <c r="S119" s="53"/>
      <c r="T119" s="53"/>
      <c r="U119" s="53"/>
    </row>
    <row r="120" spans="1:21">
      <c r="A120" s="264"/>
      <c r="B120" s="270"/>
      <c r="C120" s="398"/>
      <c r="D120" s="275"/>
      <c r="E120" s="414"/>
      <c r="F120" s="256"/>
      <c r="G120" s="491"/>
      <c r="H120" s="256"/>
      <c r="I120" s="263"/>
      <c r="J120" s="275"/>
      <c r="K120" s="264"/>
      <c r="L120" s="264"/>
      <c r="M120" s="264"/>
      <c r="N120" s="264"/>
      <c r="O120" s="256"/>
      <c r="P120" s="264"/>
      <c r="Q120" s="264"/>
      <c r="R120" s="53"/>
      <c r="S120" s="53"/>
      <c r="T120" s="53"/>
      <c r="U120" s="53"/>
    </row>
    <row r="121" spans="1:21">
      <c r="A121" s="264"/>
      <c r="B121" s="270"/>
      <c r="C121" s="289" t="s">
        <v>193</v>
      </c>
      <c r="D121" s="485"/>
      <c r="E121" s="485"/>
      <c r="F121" s="256"/>
      <c r="G121" s="256"/>
      <c r="H121" s="256"/>
      <c r="I121" s="257"/>
      <c r="J121" s="256"/>
      <c r="K121" s="264"/>
      <c r="L121" s="264"/>
      <c r="M121" s="264"/>
      <c r="N121" s="264"/>
      <c r="O121" s="256"/>
      <c r="P121" s="264"/>
      <c r="Q121" s="264"/>
      <c r="R121" s="53"/>
      <c r="S121" s="53"/>
      <c r="T121" s="53"/>
      <c r="U121" s="53"/>
    </row>
    <row r="122" spans="1:21" ht="13.5" thickBot="1">
      <c r="A122" s="264"/>
      <c r="B122" s="270"/>
      <c r="C122" s="289"/>
      <c r="D122" s="485"/>
      <c r="E122" s="485"/>
      <c r="F122" s="256"/>
      <c r="G122" s="256"/>
      <c r="H122" s="256"/>
      <c r="I122" s="257"/>
      <c r="J122" s="256"/>
      <c r="K122" s="264"/>
      <c r="L122" s="264"/>
      <c r="M122" s="264"/>
      <c r="N122" s="264"/>
      <c r="O122" s="256"/>
      <c r="P122" s="264"/>
      <c r="Q122" s="264"/>
      <c r="R122" s="53"/>
      <c r="S122" s="53"/>
      <c r="T122" s="53"/>
      <c r="U122" s="53"/>
    </row>
    <row r="123" spans="1:21" ht="13.5" thickBot="1">
      <c r="A123" s="264"/>
      <c r="B123" s="256"/>
      <c r="C123" s="256"/>
      <c r="D123" s="272">
        <f>J119</f>
        <v>0</v>
      </c>
      <c r="E123" s="414"/>
      <c r="F123" s="264" t="s">
        <v>192</v>
      </c>
      <c r="G123" s="273">
        <f>K46</f>
        <v>0</v>
      </c>
      <c r="H123" s="263" t="s">
        <v>191</v>
      </c>
      <c r="I123" s="278">
        <f>IF(D123=0,0,ROUNDUP((D123/G123),0))</f>
        <v>0</v>
      </c>
      <c r="J123" s="264" t="s">
        <v>668</v>
      </c>
      <c r="K123" s="264"/>
      <c r="L123" s="264"/>
      <c r="M123" s="264"/>
      <c r="N123" s="264"/>
      <c r="O123" s="256"/>
      <c r="P123" s="264"/>
      <c r="Q123" s="264"/>
      <c r="R123" s="53"/>
      <c r="S123" s="53"/>
      <c r="T123" s="53"/>
      <c r="U123" s="53"/>
    </row>
    <row r="124" spans="1:21">
      <c r="A124" s="264"/>
      <c r="B124" s="256"/>
      <c r="C124" s="256"/>
      <c r="D124" s="275"/>
      <c r="E124" s="414"/>
      <c r="F124" s="264"/>
      <c r="G124" s="482"/>
      <c r="H124" s="263"/>
      <c r="I124" s="487"/>
      <c r="J124" s="264"/>
      <c r="K124" s="264"/>
      <c r="L124" s="264"/>
      <c r="M124" s="264"/>
      <c r="N124" s="264"/>
      <c r="O124" s="256"/>
      <c r="P124" s="264"/>
      <c r="Q124" s="264"/>
      <c r="R124" s="53"/>
      <c r="S124" s="53"/>
      <c r="T124" s="53"/>
      <c r="U124" s="53"/>
    </row>
    <row r="125" spans="1:21">
      <c r="A125" s="264"/>
      <c r="B125" s="264"/>
      <c r="C125" s="264" t="s">
        <v>190</v>
      </c>
      <c r="D125" s="414"/>
      <c r="E125" s="414"/>
      <c r="F125" s="264"/>
      <c r="G125" s="264"/>
      <c r="H125" s="264"/>
      <c r="I125" s="264"/>
      <c r="J125" s="256"/>
      <c r="K125" s="264"/>
      <c r="L125" s="264"/>
      <c r="M125" s="264"/>
      <c r="N125" s="264"/>
      <c r="O125" s="256"/>
      <c r="P125" s="264"/>
      <c r="Q125" s="264"/>
      <c r="R125" s="53"/>
      <c r="S125" s="53"/>
      <c r="T125" s="53"/>
      <c r="U125" s="53"/>
    </row>
    <row r="126" spans="1:21" ht="13.5" thickBot="1">
      <c r="A126" s="264"/>
      <c r="B126" s="264"/>
      <c r="C126" s="264"/>
      <c r="D126" s="414"/>
      <c r="E126" s="414"/>
      <c r="F126" s="264"/>
      <c r="G126" s="264"/>
      <c r="H126" s="264"/>
      <c r="I126" s="264"/>
      <c r="J126" s="256"/>
      <c r="K126" s="264"/>
      <c r="L126" s="264"/>
      <c r="M126" s="264"/>
      <c r="N126" s="264"/>
      <c r="O126" s="256"/>
      <c r="P126" s="264"/>
      <c r="Q126" s="264"/>
      <c r="R126" s="53"/>
      <c r="S126" s="53"/>
      <c r="T126" s="53"/>
      <c r="U126" s="53"/>
    </row>
    <row r="127" spans="1:21" ht="13.5" thickBot="1">
      <c r="A127" s="452"/>
      <c r="B127" s="398" t="s">
        <v>36</v>
      </c>
      <c r="C127" s="266">
        <f>D119</f>
        <v>0</v>
      </c>
      <c r="D127" s="398" t="s">
        <v>189</v>
      </c>
      <c r="E127" s="398"/>
      <c r="F127" s="276">
        <f>I123</f>
        <v>0</v>
      </c>
      <c r="G127" s="264" t="s">
        <v>188</v>
      </c>
      <c r="H127" s="264"/>
      <c r="I127" s="274">
        <f>IF(C127=0,0,(C127-2)/(F127-1))</f>
        <v>0</v>
      </c>
      <c r="J127" s="256" t="s">
        <v>128</v>
      </c>
      <c r="K127" s="264"/>
      <c r="L127" s="264"/>
      <c r="M127" s="264"/>
      <c r="N127" s="264"/>
      <c r="O127" s="256"/>
      <c r="P127" s="264"/>
      <c r="Q127" s="264"/>
      <c r="R127" s="53"/>
      <c r="S127" s="53"/>
      <c r="T127" s="53"/>
      <c r="U127" s="53"/>
    </row>
    <row r="128" spans="1:21">
      <c r="A128" s="452"/>
      <c r="B128" s="256"/>
      <c r="C128" s="256"/>
      <c r="D128" s="414"/>
      <c r="E128" s="414"/>
      <c r="F128" s="256"/>
      <c r="G128" s="256"/>
      <c r="H128" s="256"/>
      <c r="I128" s="256"/>
      <c r="J128" s="256"/>
      <c r="K128" s="264"/>
      <c r="L128" s="264"/>
      <c r="M128" s="264"/>
      <c r="N128" s="264"/>
      <c r="O128" s="256"/>
      <c r="P128" s="264"/>
      <c r="Q128" s="264"/>
      <c r="T128" s="53"/>
      <c r="U128" s="53"/>
    </row>
    <row r="129" spans="1:21" ht="45.75" customHeight="1">
      <c r="A129" s="452"/>
      <c r="B129" s="264"/>
      <c r="C129" s="264"/>
      <c r="D129" s="398"/>
      <c r="E129" s="398"/>
      <c r="F129" s="264"/>
      <c r="G129" s="264"/>
      <c r="H129" s="264"/>
      <c r="I129" s="264"/>
      <c r="J129" s="264"/>
      <c r="K129" s="264"/>
      <c r="L129" s="264"/>
      <c r="M129" s="264"/>
      <c r="N129" s="264"/>
      <c r="O129" s="256"/>
      <c r="P129" s="264"/>
      <c r="Q129" s="264"/>
      <c r="T129" s="53"/>
      <c r="U129" s="53"/>
    </row>
    <row r="130" spans="1:21" ht="15.75">
      <c r="A130" s="400" t="s">
        <v>187</v>
      </c>
      <c r="B130" s="350" t="s">
        <v>186</v>
      </c>
      <c r="C130" s="350"/>
      <c r="D130" s="514"/>
      <c r="E130" s="514"/>
      <c r="F130" s="350"/>
      <c r="G130" s="350"/>
      <c r="H130" s="350"/>
      <c r="I130" s="350"/>
      <c r="J130" s="353"/>
      <c r="K130" s="353"/>
      <c r="L130" s="353"/>
      <c r="M130" s="353"/>
      <c r="N130" s="353"/>
      <c r="O130" s="355"/>
      <c r="P130" s="264"/>
      <c r="Q130" s="264"/>
      <c r="T130" s="53"/>
      <c r="U130" s="53"/>
    </row>
    <row r="131" spans="1:21" ht="18">
      <c r="A131" s="431"/>
      <c r="B131" s="16"/>
      <c r="C131" s="14"/>
      <c r="D131" s="453"/>
      <c r="E131" s="453"/>
      <c r="F131" s="14"/>
      <c r="G131" s="14"/>
      <c r="H131" s="14"/>
      <c r="I131" s="14"/>
      <c r="J131" s="264"/>
      <c r="K131" s="264"/>
      <c r="L131" s="264"/>
      <c r="M131" s="264"/>
      <c r="N131" s="264"/>
      <c r="O131" s="256"/>
      <c r="P131" s="264"/>
      <c r="Q131" s="264"/>
      <c r="T131" s="53"/>
      <c r="U131" s="53"/>
    </row>
    <row r="132" spans="1:21">
      <c r="A132" s="452"/>
      <c r="B132" s="414" t="s">
        <v>171</v>
      </c>
      <c r="C132" s="264" t="s">
        <v>185</v>
      </c>
      <c r="D132" s="463">
        <f>I59</f>
        <v>0</v>
      </c>
      <c r="E132" s="483"/>
      <c r="F132" s="264" t="s">
        <v>183</v>
      </c>
      <c r="G132" s="264"/>
      <c r="H132" s="284"/>
      <c r="I132" s="285"/>
      <c r="J132" s="264"/>
      <c r="K132" s="264"/>
      <c r="L132" s="264"/>
      <c r="M132" s="264"/>
      <c r="N132" s="264"/>
      <c r="O132" s="256"/>
      <c r="P132" s="264"/>
      <c r="Q132" s="264"/>
      <c r="T132" s="53"/>
      <c r="U132" s="53"/>
    </row>
    <row r="133" spans="1:21">
      <c r="A133" s="452"/>
      <c r="B133" s="457" t="s">
        <v>170</v>
      </c>
      <c r="C133" s="456" t="s">
        <v>185</v>
      </c>
      <c r="D133" s="470">
        <f>J71</f>
        <v>0</v>
      </c>
      <c r="E133" s="492"/>
      <c r="F133" s="456" t="s">
        <v>183</v>
      </c>
      <c r="G133" s="288"/>
      <c r="H133" s="284"/>
      <c r="I133" s="285"/>
      <c r="J133" s="264"/>
      <c r="K133" s="264"/>
      <c r="L133" s="264"/>
      <c r="M133" s="264"/>
      <c r="N133" s="264"/>
      <c r="O133" s="256"/>
      <c r="P133" s="264"/>
      <c r="Q133" s="264"/>
      <c r="T133" s="53"/>
      <c r="U133" s="53"/>
    </row>
    <row r="134" spans="1:21">
      <c r="A134" s="452"/>
      <c r="B134" s="414" t="s">
        <v>169</v>
      </c>
      <c r="C134" s="264" t="s">
        <v>185</v>
      </c>
      <c r="D134" s="463">
        <f>J82</f>
        <v>0</v>
      </c>
      <c r="E134" s="483"/>
      <c r="F134" s="264" t="s">
        <v>183</v>
      </c>
      <c r="G134" s="288"/>
      <c r="H134" s="284"/>
      <c r="I134" s="285"/>
      <c r="J134" s="264"/>
      <c r="K134" s="264"/>
      <c r="L134" s="264"/>
      <c r="M134" s="264"/>
      <c r="N134" s="264"/>
      <c r="O134" s="256"/>
      <c r="P134" s="264"/>
      <c r="Q134" s="264"/>
      <c r="T134" s="53"/>
      <c r="U134" s="53"/>
    </row>
    <row r="135" spans="1:21">
      <c r="A135" s="452"/>
      <c r="B135" s="457" t="s">
        <v>168</v>
      </c>
      <c r="C135" s="456" t="s">
        <v>185</v>
      </c>
      <c r="D135" s="470">
        <f>J94</f>
        <v>0</v>
      </c>
      <c r="E135" s="492"/>
      <c r="F135" s="456" t="s">
        <v>183</v>
      </c>
      <c r="G135" s="288"/>
      <c r="H135" s="284"/>
      <c r="I135" s="285"/>
      <c r="J135" s="264"/>
      <c r="K135" s="264"/>
      <c r="L135" s="264"/>
      <c r="M135" s="264"/>
      <c r="N135" s="264"/>
      <c r="O135" s="256"/>
      <c r="P135" s="264"/>
      <c r="Q135" s="264"/>
      <c r="T135" s="53"/>
      <c r="U135" s="53"/>
    </row>
    <row r="136" spans="1:21">
      <c r="A136" s="452"/>
      <c r="B136" s="414" t="s">
        <v>167</v>
      </c>
      <c r="C136" s="264" t="s">
        <v>185</v>
      </c>
      <c r="D136" s="463">
        <f>J106</f>
        <v>0</v>
      </c>
      <c r="E136" s="483"/>
      <c r="F136" s="264" t="s">
        <v>183</v>
      </c>
      <c r="G136" s="288"/>
      <c r="H136" s="284"/>
      <c r="I136" s="285"/>
      <c r="J136" s="264"/>
      <c r="K136" s="264"/>
      <c r="L136" s="264"/>
      <c r="M136" s="264"/>
      <c r="N136" s="264"/>
      <c r="O136" s="256"/>
      <c r="P136" s="264"/>
      <c r="Q136" s="264"/>
      <c r="T136" s="53"/>
      <c r="U136" s="53"/>
    </row>
    <row r="137" spans="1:21">
      <c r="A137" s="452"/>
      <c r="B137" s="457" t="s">
        <v>166</v>
      </c>
      <c r="C137" s="456" t="s">
        <v>185</v>
      </c>
      <c r="D137" s="470">
        <f>J119</f>
        <v>0</v>
      </c>
      <c r="E137" s="492"/>
      <c r="F137" s="456" t="s">
        <v>183</v>
      </c>
      <c r="G137" s="288"/>
      <c r="H137" s="284"/>
      <c r="I137" s="285"/>
      <c r="J137" s="264"/>
      <c r="K137" s="264"/>
      <c r="L137" s="264"/>
      <c r="M137" s="264"/>
      <c r="N137" s="264"/>
      <c r="O137" s="256"/>
      <c r="P137" s="264"/>
      <c r="Q137" s="264"/>
      <c r="T137" s="53"/>
      <c r="U137" s="53"/>
    </row>
    <row r="138" spans="1:21" ht="13.5" thickBot="1">
      <c r="A138" s="452"/>
      <c r="B138" s="264"/>
      <c r="C138" s="264"/>
      <c r="D138" s="263"/>
      <c r="E138" s="398"/>
      <c r="F138" s="264"/>
      <c r="G138" s="264"/>
      <c r="H138" s="283"/>
      <c r="I138" s="283"/>
      <c r="J138" s="14"/>
      <c r="K138" s="264"/>
      <c r="L138" s="264"/>
      <c r="M138" s="264"/>
      <c r="N138" s="264"/>
      <c r="O138" s="256"/>
      <c r="P138" s="14"/>
      <c r="Q138" s="264"/>
      <c r="R138" s="53"/>
      <c r="S138" s="53"/>
      <c r="T138" s="53"/>
      <c r="U138" s="53"/>
    </row>
    <row r="139" spans="1:21" ht="13.5" thickBot="1">
      <c r="A139" s="452"/>
      <c r="B139" s="484"/>
      <c r="C139" s="453" t="s">
        <v>184</v>
      </c>
      <c r="D139" s="274">
        <f>SUM(D132:D137)</f>
        <v>0</v>
      </c>
      <c r="E139" s="493"/>
      <c r="F139" s="14" t="s">
        <v>183</v>
      </c>
      <c r="G139" s="13"/>
      <c r="H139" s="282"/>
      <c r="I139" s="283"/>
      <c r="J139" s="283"/>
      <c r="K139" s="284"/>
      <c r="L139" s="264"/>
      <c r="M139" s="264"/>
      <c r="N139" s="264"/>
      <c r="O139" s="264"/>
      <c r="P139" s="264"/>
      <c r="Q139" s="264"/>
      <c r="R139" s="53"/>
      <c r="S139" s="53"/>
      <c r="T139" s="53"/>
      <c r="U139" s="53"/>
    </row>
    <row r="140" spans="1:21">
      <c r="A140" s="452"/>
      <c r="B140" s="264"/>
      <c r="C140" s="264"/>
      <c r="D140" s="398"/>
      <c r="E140" s="398"/>
      <c r="F140" s="264"/>
      <c r="G140" s="264"/>
      <c r="H140" s="264"/>
      <c r="I140" s="264"/>
      <c r="J140" s="283"/>
      <c r="K140" s="284"/>
      <c r="L140" s="264"/>
      <c r="M140" s="264"/>
      <c r="N140" s="264"/>
      <c r="O140" s="264"/>
      <c r="P140" s="264"/>
      <c r="Q140" s="264"/>
      <c r="R140" s="53"/>
      <c r="S140" s="53"/>
      <c r="T140" s="53"/>
      <c r="U140" s="53"/>
    </row>
    <row r="141" spans="1:21">
      <c r="A141" s="452"/>
      <c r="B141" s="264"/>
      <c r="C141" s="264"/>
      <c r="D141" s="398"/>
      <c r="E141" s="398"/>
      <c r="F141" s="264"/>
      <c r="G141" s="264"/>
      <c r="H141" s="264"/>
      <c r="I141" s="264"/>
      <c r="J141" s="283"/>
      <c r="K141" s="284"/>
      <c r="L141" s="264"/>
      <c r="M141" s="264"/>
      <c r="N141" s="264"/>
      <c r="O141" s="264"/>
      <c r="P141" s="264"/>
      <c r="Q141" s="264"/>
      <c r="R141" s="53"/>
      <c r="S141" s="53"/>
      <c r="T141" s="53"/>
      <c r="U141" s="53"/>
    </row>
    <row r="142" spans="1:21" ht="15.75">
      <c r="A142" s="400" t="s">
        <v>523</v>
      </c>
      <c r="B142" s="350" t="s">
        <v>524</v>
      </c>
      <c r="C142" s="353"/>
      <c r="D142" s="241"/>
      <c r="E142" s="241"/>
      <c r="F142" s="353"/>
      <c r="G142" s="353"/>
      <c r="H142" s="353"/>
      <c r="I142" s="353"/>
      <c r="J142" s="353"/>
      <c r="K142" s="353"/>
      <c r="L142" s="353"/>
      <c r="M142" s="353"/>
      <c r="N142" s="353"/>
      <c r="O142" s="355"/>
      <c r="P142" s="264"/>
      <c r="Q142" s="264"/>
      <c r="R142" s="53"/>
      <c r="S142" s="53"/>
      <c r="T142" s="53"/>
      <c r="U142" s="53"/>
    </row>
    <row r="143" spans="1:21" ht="18">
      <c r="A143" s="431"/>
      <c r="B143" s="16"/>
      <c r="C143" s="264"/>
      <c r="D143" s="398"/>
      <c r="E143" s="398"/>
      <c r="F143" s="264"/>
      <c r="G143" s="264"/>
      <c r="H143" s="264"/>
      <c r="I143" s="264"/>
      <c r="J143" s="264"/>
      <c r="K143" s="264"/>
      <c r="L143" s="264"/>
      <c r="M143" s="264"/>
      <c r="N143" s="264"/>
      <c r="O143" s="256"/>
      <c r="P143" s="264"/>
      <c r="Q143" s="264"/>
      <c r="R143" s="53"/>
      <c r="S143" s="53"/>
      <c r="T143" s="53"/>
      <c r="U143" s="53"/>
    </row>
    <row r="144" spans="1:21">
      <c r="A144" s="431"/>
      <c r="B144" s="13" t="s">
        <v>182</v>
      </c>
      <c r="C144" s="264"/>
      <c r="D144" s="398"/>
      <c r="E144" s="398"/>
      <c r="F144" s="264"/>
      <c r="G144" s="264"/>
      <c r="H144" s="264"/>
      <c r="I144" s="264"/>
      <c r="J144" s="264"/>
      <c r="K144" s="264"/>
      <c r="L144" s="264"/>
      <c r="M144" s="264"/>
      <c r="N144" s="264"/>
      <c r="O144" s="256"/>
      <c r="P144" s="264"/>
      <c r="Q144" s="264"/>
      <c r="R144" s="53"/>
      <c r="S144" s="53"/>
      <c r="T144" s="53"/>
      <c r="U144" s="53"/>
    </row>
    <row r="145" spans="1:21" ht="12.75" customHeight="1">
      <c r="A145" s="431"/>
      <c r="B145" s="279"/>
      <c r="C145" s="429" t="s">
        <v>181</v>
      </c>
      <c r="D145" s="429" t="s">
        <v>180</v>
      </c>
      <c r="E145" s="280"/>
      <c r="F145" s="494" t="s">
        <v>179</v>
      </c>
      <c r="G145" s="494"/>
      <c r="H145" s="280" t="s">
        <v>178</v>
      </c>
      <c r="I145" s="280"/>
      <c r="J145" s="280"/>
      <c r="K145" s="280" t="s">
        <v>177</v>
      </c>
      <c r="L145" s="280"/>
      <c r="M145" s="429" t="s">
        <v>176</v>
      </c>
      <c r="N145" s="430" t="s">
        <v>176</v>
      </c>
      <c r="O145" s="256"/>
      <c r="P145" s="264"/>
      <c r="Q145" s="264"/>
      <c r="R145" s="53"/>
      <c r="S145" s="53"/>
      <c r="T145" s="53"/>
      <c r="U145" s="53"/>
    </row>
    <row r="146" spans="1:21">
      <c r="A146" s="431"/>
      <c r="B146" s="281"/>
      <c r="C146" s="495" t="s">
        <v>172</v>
      </c>
      <c r="D146" s="495" t="s">
        <v>175</v>
      </c>
      <c r="E146" s="258"/>
      <c r="F146" s="495" t="s">
        <v>173</v>
      </c>
      <c r="G146" s="258"/>
      <c r="H146" s="258" t="s">
        <v>174</v>
      </c>
      <c r="I146" s="258"/>
      <c r="J146" s="258"/>
      <c r="K146" s="495" t="s">
        <v>172</v>
      </c>
      <c r="L146" s="258"/>
      <c r="M146" s="495" t="s">
        <v>173</v>
      </c>
      <c r="N146" s="496" t="s">
        <v>172</v>
      </c>
      <c r="O146" s="256"/>
      <c r="P146" s="264"/>
      <c r="Q146" s="264"/>
      <c r="R146" s="53"/>
      <c r="S146" s="53"/>
      <c r="T146" s="53"/>
      <c r="U146" s="53"/>
    </row>
    <row r="147" spans="1:21" ht="15" customHeight="1">
      <c r="A147" s="452"/>
      <c r="B147" s="497" t="s">
        <v>171</v>
      </c>
      <c r="C147" s="498"/>
      <c r="D147" s="455"/>
      <c r="E147" s="280"/>
      <c r="F147" s="499">
        <f t="shared" ref="F147:F152" si="2">J7</f>
        <v>0</v>
      </c>
      <c r="G147" s="280"/>
      <c r="H147" s="846">
        <f t="shared" ref="H147:H152" si="3">D147*F147</f>
        <v>0</v>
      </c>
      <c r="I147" s="846"/>
      <c r="J147" s="280"/>
      <c r="K147" s="500">
        <f t="shared" ref="K147:K152" si="4">I41</f>
        <v>0</v>
      </c>
      <c r="L147" s="280"/>
      <c r="M147" s="499">
        <f>F53</f>
        <v>3</v>
      </c>
      <c r="N147" s="501">
        <f t="shared" ref="N147:N152" si="5">M147*12</f>
        <v>36</v>
      </c>
      <c r="O147" s="256"/>
      <c r="P147" s="264"/>
      <c r="Q147" s="264"/>
      <c r="R147" s="53"/>
      <c r="S147" s="53"/>
      <c r="T147" s="53"/>
      <c r="U147" s="53"/>
    </row>
    <row r="148" spans="1:21">
      <c r="A148" s="452"/>
      <c r="B148" s="502" t="s">
        <v>170</v>
      </c>
      <c r="C148" s="503"/>
      <c r="D148" s="462"/>
      <c r="E148" s="480"/>
      <c r="F148" s="479">
        <f t="shared" si="2"/>
        <v>0</v>
      </c>
      <c r="G148" s="480"/>
      <c r="H148" s="841">
        <f t="shared" si="3"/>
        <v>0</v>
      </c>
      <c r="I148" s="841"/>
      <c r="J148" s="480"/>
      <c r="K148" s="504">
        <f t="shared" si="4"/>
        <v>0</v>
      </c>
      <c r="L148" s="480"/>
      <c r="M148" s="479">
        <f>I78</f>
        <v>0</v>
      </c>
      <c r="N148" s="505">
        <f t="shared" si="5"/>
        <v>0</v>
      </c>
      <c r="O148" s="256"/>
      <c r="P148" s="264"/>
      <c r="Q148" s="264"/>
      <c r="R148" s="53"/>
      <c r="S148" s="53"/>
      <c r="T148" s="53"/>
      <c r="U148" s="53"/>
    </row>
    <row r="149" spans="1:21">
      <c r="A149" s="452"/>
      <c r="B149" s="497" t="s">
        <v>169</v>
      </c>
      <c r="C149" s="506"/>
      <c r="D149" s="461"/>
      <c r="E149" s="256"/>
      <c r="F149" s="275">
        <f t="shared" si="2"/>
        <v>0</v>
      </c>
      <c r="G149" s="256"/>
      <c r="H149" s="840">
        <f t="shared" si="3"/>
        <v>0</v>
      </c>
      <c r="I149" s="840"/>
      <c r="J149" s="256"/>
      <c r="K149" s="482">
        <f t="shared" si="4"/>
        <v>0</v>
      </c>
      <c r="L149" s="256"/>
      <c r="M149" s="275">
        <f>I90</f>
        <v>0</v>
      </c>
      <c r="N149" s="507">
        <f t="shared" si="5"/>
        <v>0</v>
      </c>
      <c r="O149" s="256"/>
      <c r="P149" s="264"/>
      <c r="Q149" s="264"/>
      <c r="R149" s="53"/>
      <c r="S149" s="53"/>
      <c r="T149" s="53"/>
      <c r="U149" s="53"/>
    </row>
    <row r="150" spans="1:21">
      <c r="A150" s="452"/>
      <c r="B150" s="502" t="s">
        <v>168</v>
      </c>
      <c r="C150" s="503"/>
      <c r="D150" s="462"/>
      <c r="E150" s="480"/>
      <c r="F150" s="479">
        <f t="shared" si="2"/>
        <v>0</v>
      </c>
      <c r="G150" s="480"/>
      <c r="H150" s="841">
        <f t="shared" si="3"/>
        <v>0</v>
      </c>
      <c r="I150" s="841"/>
      <c r="J150" s="480"/>
      <c r="K150" s="504">
        <f t="shared" si="4"/>
        <v>0</v>
      </c>
      <c r="L150" s="480"/>
      <c r="M150" s="479">
        <f>I102</f>
        <v>0</v>
      </c>
      <c r="N150" s="505">
        <f t="shared" si="5"/>
        <v>0</v>
      </c>
      <c r="O150" s="256"/>
      <c r="P150" s="264"/>
      <c r="Q150" s="264"/>
      <c r="R150" s="53"/>
      <c r="S150" s="53"/>
      <c r="T150" s="53"/>
      <c r="U150" s="53"/>
    </row>
    <row r="151" spans="1:21">
      <c r="A151" s="452"/>
      <c r="B151" s="508" t="s">
        <v>167</v>
      </c>
      <c r="C151" s="506"/>
      <c r="D151" s="461"/>
      <c r="E151" s="256"/>
      <c r="F151" s="275">
        <f t="shared" si="2"/>
        <v>0</v>
      </c>
      <c r="G151" s="256"/>
      <c r="H151" s="840">
        <f t="shared" si="3"/>
        <v>0</v>
      </c>
      <c r="I151" s="840"/>
      <c r="J151" s="256"/>
      <c r="K151" s="482">
        <f t="shared" si="4"/>
        <v>0</v>
      </c>
      <c r="L151" s="256"/>
      <c r="M151" s="275">
        <f>I114</f>
        <v>0</v>
      </c>
      <c r="N151" s="507">
        <f t="shared" si="5"/>
        <v>0</v>
      </c>
      <c r="O151" s="256"/>
      <c r="P151" s="264"/>
      <c r="Q151" s="264"/>
      <c r="R151" s="53"/>
      <c r="S151" s="53"/>
      <c r="T151" s="53"/>
      <c r="U151" s="53"/>
    </row>
    <row r="152" spans="1:21">
      <c r="A152" s="452"/>
      <c r="B152" s="509" t="s">
        <v>166</v>
      </c>
      <c r="C152" s="503"/>
      <c r="D152" s="462"/>
      <c r="E152" s="510"/>
      <c r="F152" s="470">
        <f t="shared" si="2"/>
        <v>0</v>
      </c>
      <c r="G152" s="510"/>
      <c r="H152" s="839">
        <f t="shared" si="3"/>
        <v>0</v>
      </c>
      <c r="I152" s="839"/>
      <c r="J152" s="510"/>
      <c r="K152" s="511">
        <f t="shared" si="4"/>
        <v>0</v>
      </c>
      <c r="L152" s="510"/>
      <c r="M152" s="470">
        <f>I127</f>
        <v>0</v>
      </c>
      <c r="N152" s="512">
        <f t="shared" si="5"/>
        <v>0</v>
      </c>
      <c r="O152" s="256"/>
      <c r="P152" s="264"/>
      <c r="Q152" s="264"/>
      <c r="R152" s="53"/>
      <c r="S152" s="53"/>
      <c r="T152" s="53"/>
      <c r="U152" s="53"/>
    </row>
    <row r="153" spans="1:21">
      <c r="A153" s="452"/>
      <c r="B153" s="398"/>
      <c r="C153" s="257"/>
      <c r="D153" s="398"/>
      <c r="E153" s="398"/>
      <c r="F153" s="264"/>
      <c r="G153" s="482" t="s">
        <v>165</v>
      </c>
      <c r="H153" s="838">
        <f>SUM(H147:H152)</f>
        <v>0</v>
      </c>
      <c r="I153" s="838"/>
      <c r="J153" s="513" t="s">
        <v>0</v>
      </c>
      <c r="K153" s="264"/>
      <c r="L153" s="264"/>
      <c r="M153" s="264"/>
      <c r="N153" s="264"/>
      <c r="O153" s="256"/>
      <c r="P153" s="264"/>
      <c r="Q153" s="264"/>
      <c r="R153" s="53"/>
      <c r="S153" s="53"/>
      <c r="T153" s="53"/>
      <c r="U153" s="53"/>
    </row>
    <row r="154" spans="1:21">
      <c r="A154" s="452"/>
      <c r="B154" s="398"/>
      <c r="C154" s="257"/>
      <c r="D154" s="398"/>
      <c r="E154" s="398"/>
      <c r="F154" s="264" t="s">
        <v>164</v>
      </c>
      <c r="G154" s="264"/>
      <c r="H154" s="264"/>
      <c r="I154" s="264"/>
      <c r="J154" s="256"/>
      <c r="K154" s="264"/>
      <c r="L154" s="264"/>
      <c r="M154" s="264"/>
      <c r="N154" s="264"/>
      <c r="O154" s="256"/>
      <c r="P154" s="264"/>
      <c r="Q154" s="264"/>
      <c r="R154" s="53"/>
      <c r="S154" s="53"/>
      <c r="T154" s="53"/>
      <c r="U154" s="53"/>
    </row>
    <row r="155" spans="1:21">
      <c r="A155" s="452"/>
      <c r="B155" s="264"/>
      <c r="C155" s="264"/>
      <c r="D155" s="398"/>
      <c r="E155" s="398"/>
      <c r="F155" s="264" t="s">
        <v>163</v>
      </c>
      <c r="G155" s="264"/>
      <c r="H155" s="264"/>
      <c r="I155" s="264"/>
      <c r="J155" s="256"/>
      <c r="K155" s="264"/>
      <c r="L155" s="264"/>
      <c r="M155" s="264"/>
      <c r="N155" s="264"/>
      <c r="O155" s="256"/>
      <c r="P155" s="264"/>
      <c r="Q155" s="264"/>
      <c r="R155" s="53"/>
      <c r="S155" s="53"/>
      <c r="T155" s="53"/>
      <c r="U155" s="53"/>
    </row>
    <row r="156" spans="1:21">
      <c r="A156" s="452"/>
      <c r="B156" s="264"/>
      <c r="C156" s="264"/>
      <c r="D156" s="398"/>
      <c r="E156" s="398"/>
      <c r="F156" s="264"/>
      <c r="G156" s="264"/>
      <c r="H156" s="264"/>
      <c r="I156" s="264"/>
      <c r="J156" s="264"/>
      <c r="K156" s="264"/>
      <c r="L156" s="264"/>
      <c r="M156" s="264"/>
      <c r="N156" s="264"/>
      <c r="O156" s="256"/>
      <c r="P156" s="264"/>
      <c r="Q156" s="264"/>
      <c r="R156" s="53"/>
      <c r="S156" s="53"/>
      <c r="T156" s="53"/>
      <c r="U156" s="53"/>
    </row>
    <row r="157" spans="1:21">
      <c r="A157" s="452"/>
      <c r="B157" s="264"/>
      <c r="C157" s="264"/>
      <c r="D157" s="398"/>
      <c r="E157" s="398"/>
      <c r="F157" s="264"/>
      <c r="G157" s="264"/>
      <c r="H157" s="264"/>
      <c r="I157" s="264"/>
      <c r="J157" s="264"/>
      <c r="K157" s="264"/>
      <c r="L157" s="264"/>
      <c r="M157" s="264"/>
      <c r="N157" s="264"/>
      <c r="O157" s="256"/>
      <c r="P157" s="264"/>
      <c r="Q157" s="264"/>
      <c r="R157" s="53"/>
      <c r="S157" s="53"/>
      <c r="T157" s="53"/>
      <c r="U157" s="53"/>
    </row>
    <row r="158" spans="1:21">
      <c r="A158" s="452"/>
      <c r="B158" s="264"/>
      <c r="C158" s="264"/>
      <c r="D158" s="398"/>
      <c r="E158" s="398"/>
      <c r="F158" s="264"/>
      <c r="G158" s="264"/>
      <c r="H158" s="264"/>
      <c r="I158" s="264"/>
      <c r="J158" s="264"/>
      <c r="K158" s="264"/>
      <c r="L158" s="264"/>
      <c r="M158" s="264"/>
      <c r="N158" s="264"/>
      <c r="O158" s="256"/>
      <c r="P158" s="264"/>
      <c r="Q158" s="264"/>
      <c r="R158" s="53"/>
      <c r="S158" s="53"/>
      <c r="T158" s="53"/>
      <c r="U158" s="53"/>
    </row>
    <row r="159" spans="1:21">
      <c r="A159" s="452"/>
      <c r="B159" s="264"/>
      <c r="C159" s="264"/>
      <c r="D159" s="398"/>
      <c r="E159" s="398"/>
      <c r="F159" s="264"/>
      <c r="G159" s="264"/>
      <c r="H159" s="264"/>
      <c r="I159" s="264"/>
      <c r="J159" s="264"/>
      <c r="K159" s="264"/>
      <c r="L159" s="264"/>
      <c r="M159" s="264"/>
      <c r="N159" s="264"/>
      <c r="O159" s="256"/>
      <c r="P159" s="264"/>
      <c r="Q159" s="264"/>
      <c r="R159" s="53"/>
      <c r="S159" s="53"/>
      <c r="T159" s="53"/>
      <c r="U159" s="53"/>
    </row>
    <row r="160" spans="1:21">
      <c r="A160" s="264"/>
      <c r="B160" s="264"/>
      <c r="C160" s="263"/>
      <c r="D160" s="625"/>
      <c r="E160" s="625"/>
      <c r="F160" s="263"/>
      <c r="G160" s="264"/>
      <c r="H160" s="264"/>
      <c r="I160" s="264"/>
      <c r="J160" s="264"/>
      <c r="K160" s="264"/>
      <c r="L160" s="264"/>
      <c r="M160" s="264"/>
      <c r="N160" s="264"/>
      <c r="O160" s="256"/>
      <c r="P160" s="264"/>
      <c r="Q160" s="264"/>
      <c r="R160" s="53"/>
      <c r="S160" s="53"/>
      <c r="T160" s="53"/>
      <c r="U160" s="53"/>
    </row>
    <row r="161" spans="1:21" ht="4.5" customHeight="1">
      <c r="A161" s="452"/>
      <c r="B161" s="264"/>
      <c r="C161" s="264"/>
      <c r="D161" s="625"/>
      <c r="E161" s="625"/>
      <c r="F161" s="264"/>
      <c r="G161" s="264"/>
      <c r="H161" s="264"/>
      <c r="I161" s="264"/>
      <c r="J161" s="264"/>
      <c r="K161" s="264"/>
      <c r="L161" s="264"/>
      <c r="M161" s="264"/>
      <c r="N161" s="264"/>
      <c r="O161" s="256"/>
      <c r="P161" s="264"/>
      <c r="Q161" s="264"/>
      <c r="R161" s="53"/>
      <c r="S161" s="53"/>
      <c r="T161" s="53"/>
      <c r="U161" s="53"/>
    </row>
    <row r="162" spans="1:21" s="1" customFormat="1" ht="15" customHeight="1">
      <c r="A162" s="264"/>
      <c r="B162" s="264"/>
      <c r="C162" s="263"/>
      <c r="D162" s="625"/>
      <c r="E162" s="625"/>
      <c r="F162" s="263"/>
      <c r="G162" s="264"/>
      <c r="H162" s="264"/>
      <c r="I162" s="264"/>
      <c r="J162" s="264"/>
      <c r="K162" s="264"/>
      <c r="L162" s="264"/>
      <c r="M162" s="264"/>
      <c r="N162" s="264"/>
      <c r="O162" s="256"/>
      <c r="P162" s="264"/>
      <c r="Q162" s="264"/>
      <c r="R162" s="53"/>
      <c r="S162" s="53"/>
      <c r="T162" s="53"/>
      <c r="U162" s="53"/>
    </row>
    <row r="163" spans="1:21" s="1" customFormat="1">
      <c r="A163" s="452"/>
      <c r="B163" s="264"/>
      <c r="C163" s="264"/>
      <c r="D163" s="625"/>
      <c r="E163" s="625"/>
      <c r="F163" s="264"/>
      <c r="G163" s="264"/>
      <c r="H163" s="264"/>
      <c r="I163" s="264"/>
      <c r="J163" s="264"/>
      <c r="K163" s="264"/>
      <c r="L163" s="264"/>
      <c r="M163" s="264"/>
      <c r="N163" s="264"/>
      <c r="O163" s="256"/>
      <c r="P163" s="264"/>
      <c r="Q163" s="264"/>
      <c r="R163" s="53"/>
      <c r="S163" s="53"/>
      <c r="T163" s="53"/>
      <c r="U163" s="53"/>
    </row>
    <row r="164" spans="1:21" s="1" customFormat="1">
      <c r="A164" s="264"/>
      <c r="B164" s="264"/>
      <c r="C164" s="263"/>
      <c r="D164" s="625"/>
      <c r="E164" s="625"/>
      <c r="F164" s="263"/>
      <c r="G164" s="264"/>
      <c r="H164" s="264"/>
      <c r="I164" s="264"/>
      <c r="J164" s="264"/>
      <c r="K164" s="264"/>
      <c r="L164" s="264"/>
      <c r="M164" s="264"/>
      <c r="N164" s="264"/>
      <c r="O164" s="256"/>
      <c r="P164" s="264"/>
      <c r="Q164" s="264"/>
      <c r="R164" s="53"/>
      <c r="S164" s="53"/>
      <c r="T164" s="53"/>
      <c r="U164" s="53"/>
    </row>
    <row r="165" spans="1:21" s="1" customFormat="1">
      <c r="A165" s="452"/>
      <c r="B165" s="264"/>
      <c r="C165" s="264"/>
      <c r="D165" s="625"/>
      <c r="E165" s="625"/>
      <c r="F165" s="264"/>
      <c r="G165" s="264"/>
      <c r="H165" s="264"/>
      <c r="I165" s="264"/>
      <c r="J165" s="264"/>
      <c r="K165" s="264"/>
      <c r="L165" s="264"/>
      <c r="M165" s="264"/>
      <c r="N165" s="264"/>
      <c r="O165" s="256"/>
      <c r="P165" s="264"/>
      <c r="Q165" s="264"/>
      <c r="R165" s="53"/>
      <c r="S165" s="53"/>
      <c r="T165" s="53"/>
      <c r="U165" s="53"/>
    </row>
    <row r="166" spans="1:21" s="1" customFormat="1">
      <c r="A166" s="264"/>
      <c r="B166" s="264"/>
      <c r="C166" s="263"/>
      <c r="D166" s="398"/>
      <c r="E166" s="398"/>
      <c r="F166" s="263"/>
      <c r="G166" s="264"/>
      <c r="H166" s="264"/>
      <c r="I166" s="264"/>
      <c r="J166" s="264"/>
      <c r="K166" s="264"/>
      <c r="L166" s="264"/>
      <c r="M166" s="264"/>
      <c r="N166" s="264"/>
      <c r="O166" s="256"/>
      <c r="P166" s="264"/>
      <c r="Q166" s="264"/>
      <c r="R166" s="53"/>
      <c r="S166" s="53"/>
      <c r="T166" s="53"/>
      <c r="U166" s="53"/>
    </row>
    <row r="167" spans="1:21">
      <c r="A167" s="452"/>
      <c r="B167" s="264"/>
      <c r="C167" s="264"/>
      <c r="D167" s="398"/>
      <c r="E167" s="398"/>
      <c r="F167" s="264"/>
      <c r="G167" s="264"/>
      <c r="H167" s="264"/>
      <c r="I167" s="264"/>
      <c r="J167" s="264"/>
      <c r="K167" s="264"/>
      <c r="L167" s="264"/>
      <c r="M167" s="264"/>
      <c r="N167" s="264"/>
      <c r="O167" s="256"/>
      <c r="P167" s="264"/>
      <c r="Q167" s="264"/>
      <c r="R167" s="53"/>
      <c r="S167" s="53"/>
      <c r="T167" s="53"/>
      <c r="U167" s="53"/>
    </row>
    <row r="168" spans="1:21">
      <c r="A168" s="452"/>
      <c r="B168" s="264"/>
      <c r="C168" s="264"/>
      <c r="D168" s="398"/>
      <c r="E168" s="398"/>
      <c r="F168" s="264"/>
      <c r="G168" s="264"/>
      <c r="H168" s="264"/>
      <c r="I168" s="264"/>
      <c r="J168" s="264"/>
      <c r="K168" s="264"/>
      <c r="L168" s="264"/>
      <c r="M168" s="264"/>
      <c r="N168" s="264"/>
      <c r="O168" s="256"/>
      <c r="P168" s="264"/>
      <c r="Q168" s="264"/>
      <c r="R168" s="53"/>
      <c r="S168" s="53"/>
      <c r="T168" s="53"/>
      <c r="U168" s="53"/>
    </row>
    <row r="169" spans="1:21">
      <c r="A169" s="452"/>
      <c r="B169" s="264"/>
      <c r="C169" s="264"/>
      <c r="D169" s="398"/>
      <c r="E169" s="398"/>
      <c r="F169" s="264"/>
      <c r="G169" s="264"/>
      <c r="H169" s="264"/>
      <c r="I169" s="264"/>
      <c r="J169" s="264"/>
      <c r="K169" s="264"/>
      <c r="L169" s="264"/>
      <c r="M169" s="264"/>
      <c r="N169" s="264"/>
      <c r="O169" s="256"/>
      <c r="P169" s="264"/>
      <c r="Q169" s="264"/>
      <c r="R169" s="53"/>
      <c r="S169" s="53"/>
      <c r="T169" s="53"/>
      <c r="U169" s="53"/>
    </row>
    <row r="170" spans="1:21">
      <c r="A170" s="452"/>
      <c r="B170" s="264"/>
      <c r="C170" s="264"/>
      <c r="D170" s="398"/>
      <c r="E170" s="398"/>
      <c r="F170" s="264"/>
      <c r="G170" s="264"/>
      <c r="H170" s="264"/>
      <c r="I170" s="264"/>
      <c r="J170" s="264"/>
      <c r="K170" s="264"/>
      <c r="L170" s="264"/>
      <c r="M170" s="264"/>
      <c r="N170" s="264"/>
      <c r="O170" s="256"/>
      <c r="P170" s="264"/>
      <c r="Q170" s="264"/>
      <c r="R170" s="53"/>
      <c r="S170" s="53"/>
      <c r="T170" s="53"/>
      <c r="U170" s="53"/>
    </row>
    <row r="171" spans="1:21">
      <c r="A171" s="452"/>
      <c r="B171" s="264"/>
      <c r="C171" s="264"/>
      <c r="D171" s="398"/>
      <c r="E171" s="398"/>
      <c r="F171" s="264"/>
      <c r="G171" s="264"/>
      <c r="H171" s="264"/>
      <c r="I171" s="264"/>
      <c r="J171" s="264"/>
      <c r="K171" s="264"/>
      <c r="L171" s="264"/>
      <c r="M171" s="264"/>
      <c r="N171" s="264"/>
      <c r="O171" s="256"/>
      <c r="P171" s="264"/>
      <c r="Q171" s="264"/>
      <c r="R171" s="53"/>
      <c r="S171" s="53"/>
      <c r="T171" s="53"/>
      <c r="U171" s="53"/>
    </row>
    <row r="172" spans="1:21">
      <c r="A172" s="452"/>
      <c r="B172" s="264"/>
      <c r="C172" s="264"/>
      <c r="D172" s="398"/>
      <c r="E172" s="398"/>
      <c r="F172" s="264"/>
      <c r="G172" s="264"/>
      <c r="H172" s="264"/>
      <c r="I172" s="264"/>
      <c r="J172" s="264"/>
      <c r="K172" s="264"/>
      <c r="L172" s="264"/>
      <c r="M172" s="264"/>
      <c r="N172" s="264"/>
      <c r="O172" s="256"/>
      <c r="P172" s="264"/>
      <c r="Q172" s="264"/>
      <c r="R172" s="53"/>
      <c r="S172" s="53"/>
      <c r="T172" s="53"/>
      <c r="U172" s="53"/>
    </row>
    <row r="173" spans="1:21">
      <c r="A173" s="452"/>
      <c r="B173" s="264"/>
      <c r="C173" s="264"/>
      <c r="D173" s="398"/>
      <c r="E173" s="398"/>
      <c r="F173" s="264"/>
      <c r="G173" s="264"/>
      <c r="H173" s="264"/>
      <c r="I173" s="264"/>
      <c r="J173" s="264"/>
      <c r="K173" s="264"/>
      <c r="L173" s="264"/>
      <c r="M173" s="264"/>
      <c r="N173" s="264"/>
      <c r="O173" s="256"/>
      <c r="P173" s="264"/>
      <c r="Q173" s="264"/>
      <c r="R173" s="53"/>
      <c r="S173" s="53"/>
      <c r="T173" s="53"/>
      <c r="U173" s="53"/>
    </row>
    <row r="174" spans="1:21">
      <c r="A174" s="452"/>
      <c r="B174" s="264"/>
      <c r="C174" s="264"/>
      <c r="D174" s="398"/>
      <c r="E174" s="398"/>
      <c r="F174" s="264"/>
      <c r="G174" s="264"/>
      <c r="H174" s="264"/>
      <c r="I174" s="264"/>
      <c r="J174" s="264"/>
      <c r="K174" s="264"/>
      <c r="L174" s="264"/>
      <c r="M174" s="264"/>
      <c r="N174" s="264"/>
      <c r="O174" s="256"/>
      <c r="P174" s="264"/>
      <c r="Q174" s="264"/>
      <c r="R174" s="53"/>
      <c r="S174" s="53"/>
      <c r="T174" s="53"/>
      <c r="U174" s="53"/>
    </row>
    <row r="175" spans="1:21">
      <c r="A175" s="452"/>
      <c r="B175" s="264"/>
      <c r="C175" s="264"/>
      <c r="D175" s="398"/>
      <c r="E175" s="398"/>
      <c r="F175" s="264"/>
      <c r="G175" s="264"/>
      <c r="H175" s="264"/>
      <c r="I175" s="264"/>
      <c r="J175" s="264"/>
      <c r="K175" s="264"/>
      <c r="L175" s="264"/>
      <c r="M175" s="264"/>
      <c r="N175" s="264"/>
      <c r="O175" s="256"/>
      <c r="P175" s="264"/>
      <c r="Q175" s="264"/>
      <c r="R175" s="53"/>
      <c r="S175" s="53"/>
      <c r="T175" s="53"/>
      <c r="U175" s="53"/>
    </row>
    <row r="176" spans="1:21">
      <c r="A176" s="452"/>
      <c r="B176" s="264"/>
      <c r="C176" s="264"/>
      <c r="D176" s="398"/>
      <c r="E176" s="398"/>
      <c r="F176" s="264"/>
      <c r="G176" s="264"/>
      <c r="H176" s="264"/>
      <c r="I176" s="264"/>
      <c r="J176" s="264"/>
      <c r="K176" s="264"/>
      <c r="L176" s="264"/>
      <c r="M176" s="264"/>
      <c r="N176" s="264"/>
      <c r="O176" s="256"/>
      <c r="P176" s="264"/>
      <c r="Q176" s="264"/>
      <c r="R176" s="53"/>
      <c r="S176" s="53"/>
      <c r="T176" s="53"/>
      <c r="U176" s="53"/>
    </row>
    <row r="177" spans="1:21">
      <c r="A177" s="452"/>
      <c r="B177" s="264"/>
      <c r="C177" s="264"/>
      <c r="D177" s="398"/>
      <c r="E177" s="398"/>
      <c r="F177" s="264"/>
      <c r="G177" s="264"/>
      <c r="H177" s="264"/>
      <c r="I177" s="264"/>
      <c r="J177" s="264"/>
      <c r="K177" s="264"/>
      <c r="L177" s="264"/>
      <c r="M177" s="264"/>
      <c r="N177" s="264"/>
      <c r="O177" s="256"/>
      <c r="P177" s="264"/>
      <c r="Q177" s="264"/>
      <c r="R177" s="53"/>
      <c r="S177" s="53"/>
      <c r="T177" s="53"/>
      <c r="U177" s="53"/>
    </row>
    <row r="178" spans="1:21">
      <c r="A178" s="452"/>
      <c r="B178" s="264"/>
      <c r="C178" s="264"/>
      <c r="D178" s="398"/>
      <c r="E178" s="398"/>
      <c r="F178" s="264"/>
      <c r="G178" s="264"/>
      <c r="H178" s="264"/>
      <c r="I178" s="264"/>
      <c r="J178" s="264"/>
      <c r="K178" s="264"/>
      <c r="L178" s="264"/>
      <c r="M178" s="264"/>
      <c r="N178" s="264"/>
      <c r="O178" s="256"/>
      <c r="P178" s="264"/>
      <c r="Q178" s="264"/>
      <c r="R178" s="53"/>
      <c r="S178" s="53"/>
      <c r="T178" s="53"/>
      <c r="U178" s="53"/>
    </row>
    <row r="179" spans="1:21">
      <c r="A179" s="452"/>
      <c r="B179" s="264"/>
      <c r="C179" s="264"/>
      <c r="D179" s="398"/>
      <c r="E179" s="398"/>
      <c r="F179" s="264"/>
      <c r="G179" s="264"/>
      <c r="H179" s="264"/>
      <c r="I179" s="264"/>
      <c r="J179" s="264"/>
      <c r="K179" s="264"/>
      <c r="L179" s="264"/>
      <c r="M179" s="264"/>
      <c r="N179" s="264"/>
      <c r="O179" s="256"/>
      <c r="P179" s="264"/>
      <c r="Q179" s="264"/>
      <c r="R179" s="53"/>
      <c r="S179" s="53"/>
      <c r="T179" s="53"/>
      <c r="U179" s="53"/>
    </row>
    <row r="180" spans="1:21">
      <c r="A180" s="452"/>
      <c r="B180" s="264"/>
      <c r="C180" s="264"/>
      <c r="D180" s="398"/>
      <c r="E180" s="398"/>
      <c r="F180" s="264"/>
      <c r="G180" s="264"/>
      <c r="H180" s="264"/>
      <c r="I180" s="264"/>
      <c r="J180" s="264"/>
      <c r="K180" s="264"/>
      <c r="L180" s="264"/>
      <c r="M180" s="264"/>
      <c r="N180" s="264"/>
      <c r="O180" s="256"/>
      <c r="P180" s="264"/>
      <c r="Q180" s="264"/>
      <c r="R180" s="53"/>
      <c r="S180" s="53"/>
      <c r="T180" s="53"/>
      <c r="U180" s="53"/>
    </row>
    <row r="181" spans="1:21">
      <c r="A181" s="452"/>
      <c r="B181" s="264"/>
      <c r="C181" s="264"/>
      <c r="D181" s="398"/>
      <c r="E181" s="398"/>
      <c r="F181" s="264"/>
      <c r="G181" s="264"/>
      <c r="H181" s="264"/>
      <c r="I181" s="264"/>
      <c r="J181" s="264"/>
      <c r="K181" s="264"/>
      <c r="L181" s="264"/>
      <c r="M181" s="264"/>
      <c r="N181" s="264"/>
      <c r="O181" s="256"/>
      <c r="P181" s="264"/>
      <c r="Q181" s="264"/>
      <c r="R181" s="53"/>
      <c r="S181" s="53"/>
      <c r="T181" s="53"/>
      <c r="U181" s="53"/>
    </row>
    <row r="182" spans="1:21">
      <c r="A182" s="452"/>
      <c r="B182" s="264"/>
      <c r="C182" s="264"/>
      <c r="D182" s="398"/>
      <c r="E182" s="398"/>
      <c r="F182" s="264"/>
      <c r="G182" s="264"/>
      <c r="H182" s="264"/>
      <c r="I182" s="264"/>
      <c r="J182" s="264"/>
      <c r="K182" s="264"/>
      <c r="L182" s="264"/>
      <c r="M182" s="264"/>
      <c r="N182" s="264"/>
      <c r="O182" s="256"/>
      <c r="P182" s="264"/>
      <c r="Q182" s="264"/>
      <c r="R182" s="53"/>
      <c r="S182" s="53"/>
      <c r="T182" s="53"/>
      <c r="U182" s="53"/>
    </row>
    <row r="183" spans="1:21">
      <c r="A183" s="452"/>
      <c r="B183" s="264"/>
      <c r="C183" s="264"/>
      <c r="D183" s="398"/>
      <c r="E183" s="398"/>
      <c r="F183" s="264"/>
      <c r="G183" s="264"/>
      <c r="H183" s="264"/>
      <c r="I183" s="264"/>
      <c r="J183" s="264"/>
      <c r="K183" s="264"/>
      <c r="L183" s="264"/>
      <c r="M183" s="264"/>
      <c r="N183" s="264"/>
      <c r="O183" s="256"/>
      <c r="P183" s="264"/>
      <c r="Q183" s="264"/>
      <c r="R183" s="53"/>
      <c r="S183" s="53"/>
      <c r="T183" s="53"/>
      <c r="U183" s="53"/>
    </row>
    <row r="184" spans="1:21">
      <c r="A184" s="452"/>
      <c r="B184" s="264"/>
      <c r="C184" s="264"/>
      <c r="D184" s="398"/>
      <c r="E184" s="398"/>
      <c r="F184" s="264"/>
      <c r="G184" s="264"/>
      <c r="H184" s="264"/>
      <c r="I184" s="264"/>
      <c r="J184" s="264"/>
      <c r="K184" s="264"/>
      <c r="L184" s="264"/>
      <c r="M184" s="264"/>
      <c r="N184" s="264"/>
      <c r="O184" s="256"/>
      <c r="P184" s="264"/>
      <c r="Q184" s="264"/>
      <c r="R184" s="53"/>
      <c r="S184" s="53"/>
      <c r="T184" s="53"/>
      <c r="U184" s="53"/>
    </row>
    <row r="185" spans="1:21">
      <c r="A185" s="452"/>
      <c r="B185" s="264"/>
      <c r="C185" s="264"/>
      <c r="D185" s="398"/>
      <c r="E185" s="398"/>
      <c r="F185" s="264"/>
      <c r="G185" s="264"/>
      <c r="H185" s="264"/>
      <c r="I185" s="264"/>
      <c r="J185" s="264"/>
      <c r="K185" s="264"/>
      <c r="L185" s="264"/>
      <c r="M185" s="264"/>
      <c r="N185" s="264"/>
      <c r="O185" s="256"/>
      <c r="P185" s="264"/>
      <c r="Q185" s="264"/>
      <c r="R185" s="53"/>
      <c r="S185" s="53"/>
      <c r="T185" s="53"/>
      <c r="U185" s="53"/>
    </row>
    <row r="186" spans="1:21">
      <c r="A186" s="452"/>
      <c r="B186" s="264"/>
      <c r="C186" s="264"/>
      <c r="D186" s="398"/>
      <c r="E186" s="398"/>
      <c r="F186" s="264"/>
      <c r="G186" s="264"/>
      <c r="H186" s="264"/>
      <c r="I186" s="264"/>
      <c r="J186" s="264"/>
      <c r="K186" s="264"/>
      <c r="L186" s="264"/>
      <c r="M186" s="264"/>
      <c r="N186" s="264"/>
      <c r="O186" s="256"/>
      <c r="P186" s="264"/>
      <c r="Q186" s="264"/>
      <c r="R186" s="53"/>
      <c r="S186" s="53"/>
      <c r="T186" s="53"/>
      <c r="U186" s="53"/>
    </row>
    <row r="187" spans="1:21">
      <c r="A187" s="452"/>
      <c r="B187" s="264"/>
      <c r="C187" s="264"/>
      <c r="D187" s="398"/>
      <c r="E187" s="398"/>
      <c r="F187" s="264"/>
      <c r="G187" s="264"/>
      <c r="H187" s="264"/>
      <c r="I187" s="264"/>
      <c r="J187" s="264"/>
      <c r="K187" s="264"/>
      <c r="L187" s="264"/>
      <c r="M187" s="264"/>
      <c r="N187" s="264"/>
      <c r="O187" s="256"/>
      <c r="P187" s="264"/>
      <c r="Q187" s="264"/>
      <c r="R187" s="53"/>
      <c r="S187" s="53"/>
      <c r="T187" s="53"/>
      <c r="U187" s="53"/>
    </row>
    <row r="188" spans="1:21">
      <c r="A188" s="452"/>
      <c r="B188" s="264"/>
      <c r="C188" s="264"/>
      <c r="D188" s="398"/>
      <c r="E188" s="398"/>
      <c r="F188" s="264"/>
      <c r="G188" s="264"/>
      <c r="H188" s="264"/>
      <c r="I188" s="264"/>
      <c r="J188" s="264"/>
      <c r="K188" s="264"/>
      <c r="L188" s="264"/>
      <c r="M188" s="264"/>
      <c r="N188" s="264"/>
      <c r="O188" s="256"/>
      <c r="P188" s="264"/>
      <c r="Q188" s="264"/>
      <c r="R188" s="53"/>
      <c r="S188" s="53"/>
      <c r="T188" s="53"/>
      <c r="U188" s="53"/>
    </row>
    <row r="189" spans="1:21">
      <c r="A189" s="452"/>
      <c r="B189" s="264"/>
      <c r="C189" s="264"/>
      <c r="D189" s="398"/>
      <c r="E189" s="398"/>
      <c r="F189" s="264"/>
      <c r="G189" s="264"/>
      <c r="H189" s="264"/>
      <c r="I189" s="264"/>
      <c r="J189" s="264"/>
      <c r="K189" s="264"/>
      <c r="L189" s="264"/>
      <c r="M189" s="264"/>
      <c r="N189" s="264"/>
      <c r="O189" s="256"/>
      <c r="P189" s="264"/>
      <c r="Q189" s="264"/>
      <c r="R189" s="53"/>
      <c r="S189" s="53"/>
      <c r="T189" s="53"/>
      <c r="U189" s="53"/>
    </row>
    <row r="190" spans="1:21">
      <c r="A190" s="452"/>
      <c r="B190" s="264"/>
      <c r="C190" s="264"/>
      <c r="D190" s="398"/>
      <c r="E190" s="398"/>
      <c r="F190" s="264"/>
      <c r="G190" s="264"/>
      <c r="H190" s="264"/>
      <c r="I190" s="264"/>
      <c r="J190" s="264"/>
      <c r="K190" s="264"/>
      <c r="L190" s="264"/>
      <c r="M190" s="264"/>
      <c r="N190" s="264"/>
      <c r="O190" s="256"/>
      <c r="P190" s="264"/>
      <c r="Q190" s="264"/>
      <c r="R190" s="53"/>
      <c r="S190" s="53"/>
      <c r="T190" s="53"/>
      <c r="U190" s="53"/>
    </row>
    <row r="191" spans="1:21">
      <c r="A191" s="452"/>
      <c r="B191" s="264"/>
      <c r="C191" s="264"/>
      <c r="D191" s="398"/>
      <c r="E191" s="398"/>
      <c r="F191" s="264"/>
      <c r="G191" s="264"/>
      <c r="H191" s="264"/>
      <c r="I191" s="264"/>
      <c r="J191" s="264"/>
      <c r="K191" s="264"/>
      <c r="L191" s="264"/>
      <c r="M191" s="264"/>
      <c r="N191" s="264"/>
      <c r="O191" s="256"/>
      <c r="P191" s="264"/>
      <c r="Q191" s="264"/>
      <c r="R191" s="53"/>
      <c r="S191" s="53"/>
      <c r="T191" s="53"/>
      <c r="U191" s="53"/>
    </row>
    <row r="192" spans="1:21">
      <c r="A192" s="452"/>
      <c r="B192" s="264"/>
      <c r="C192" s="264"/>
      <c r="D192" s="398"/>
      <c r="E192" s="398"/>
      <c r="F192" s="264"/>
      <c r="G192" s="264"/>
      <c r="H192" s="264"/>
      <c r="I192" s="264"/>
      <c r="J192" s="264"/>
      <c r="K192" s="264"/>
      <c r="L192" s="264"/>
      <c r="M192" s="264"/>
      <c r="N192" s="264"/>
      <c r="O192" s="256"/>
      <c r="P192" s="264"/>
      <c r="Q192" s="264"/>
      <c r="R192" s="53"/>
      <c r="S192" s="53"/>
      <c r="T192" s="53"/>
      <c r="U192" s="53"/>
    </row>
    <row r="193" spans="1:21">
      <c r="A193" s="452"/>
      <c r="B193" s="264"/>
      <c r="C193" s="264"/>
      <c r="D193" s="398"/>
      <c r="E193" s="398"/>
      <c r="F193" s="264"/>
      <c r="G193" s="264"/>
      <c r="H193" s="264"/>
      <c r="I193" s="264"/>
      <c r="J193" s="264"/>
      <c r="K193" s="264"/>
      <c r="L193" s="264"/>
      <c r="M193" s="264"/>
      <c r="N193" s="264"/>
      <c r="O193" s="256"/>
      <c r="P193" s="264"/>
      <c r="Q193" s="264"/>
      <c r="R193" s="53"/>
      <c r="S193" s="53"/>
      <c r="T193" s="53"/>
      <c r="U193" s="53"/>
    </row>
    <row r="194" spans="1:21">
      <c r="A194" s="452"/>
      <c r="B194" s="264"/>
      <c r="C194" s="264"/>
      <c r="D194" s="398"/>
      <c r="E194" s="398"/>
      <c r="F194" s="264"/>
      <c r="G194" s="264"/>
      <c r="H194" s="264"/>
      <c r="I194" s="264"/>
      <c r="J194" s="264"/>
      <c r="K194" s="264"/>
      <c r="L194" s="264"/>
      <c r="M194" s="264"/>
      <c r="N194" s="264"/>
      <c r="O194" s="256"/>
      <c r="P194" s="264"/>
      <c r="Q194" s="264"/>
      <c r="R194" s="53"/>
      <c r="S194" s="53"/>
      <c r="T194" s="53"/>
      <c r="U194" s="53"/>
    </row>
    <row r="195" spans="1:21">
      <c r="A195" s="452"/>
      <c r="B195" s="264"/>
      <c r="C195" s="264"/>
      <c r="D195" s="398"/>
      <c r="E195" s="398"/>
      <c r="F195" s="264"/>
      <c r="G195" s="264"/>
      <c r="H195" s="264"/>
      <c r="I195" s="264"/>
      <c r="J195" s="264"/>
      <c r="K195" s="264"/>
      <c r="L195" s="264"/>
      <c r="M195" s="264"/>
      <c r="N195" s="264"/>
      <c r="O195" s="256"/>
      <c r="P195" s="264"/>
      <c r="Q195" s="264"/>
      <c r="R195" s="53"/>
      <c r="S195" s="53"/>
      <c r="T195" s="53"/>
      <c r="U195" s="53"/>
    </row>
    <row r="196" spans="1:21">
      <c r="A196" s="452"/>
      <c r="B196" s="264"/>
      <c r="C196" s="264"/>
      <c r="D196" s="398"/>
      <c r="E196" s="398"/>
      <c r="F196" s="264"/>
      <c r="G196" s="264"/>
      <c r="H196" s="264"/>
      <c r="I196" s="264"/>
      <c r="J196" s="264"/>
      <c r="K196" s="264"/>
      <c r="L196" s="264"/>
      <c r="M196" s="264"/>
      <c r="N196" s="264"/>
      <c r="O196" s="256"/>
      <c r="P196" s="264"/>
      <c r="Q196" s="264"/>
      <c r="R196" s="53"/>
      <c r="S196" s="53"/>
      <c r="T196" s="53"/>
      <c r="U196" s="53"/>
    </row>
    <row r="197" spans="1:21">
      <c r="A197" s="452"/>
      <c r="B197" s="264"/>
      <c r="C197" s="264"/>
      <c r="D197" s="398"/>
      <c r="E197" s="398"/>
      <c r="F197" s="264"/>
      <c r="G197" s="264"/>
      <c r="H197" s="264"/>
      <c r="I197" s="264"/>
      <c r="J197" s="264"/>
      <c r="K197" s="264"/>
      <c r="L197" s="264"/>
      <c r="M197" s="264"/>
      <c r="N197" s="264"/>
      <c r="O197" s="256"/>
      <c r="P197" s="264"/>
      <c r="Q197" s="264"/>
      <c r="R197" s="53"/>
      <c r="S197" s="53"/>
      <c r="T197" s="53"/>
      <c r="U197" s="53"/>
    </row>
    <row r="198" spans="1:21">
      <c r="A198" s="452"/>
      <c r="B198" s="264"/>
      <c r="C198" s="264"/>
      <c r="D198" s="398"/>
      <c r="E198" s="398"/>
      <c r="F198" s="264"/>
      <c r="G198" s="264"/>
      <c r="H198" s="264"/>
      <c r="I198" s="264"/>
      <c r="J198" s="264"/>
      <c r="K198" s="264"/>
      <c r="L198" s="264"/>
      <c r="M198" s="264"/>
      <c r="N198" s="264"/>
      <c r="O198" s="256"/>
      <c r="P198" s="264"/>
      <c r="Q198" s="264"/>
      <c r="R198" s="53"/>
      <c r="S198" s="53"/>
      <c r="T198" s="53"/>
      <c r="U198" s="53"/>
    </row>
    <row r="199" spans="1:21">
      <c r="A199" s="452"/>
      <c r="B199" s="264"/>
      <c r="C199" s="264"/>
      <c r="D199" s="398"/>
      <c r="E199" s="398"/>
      <c r="F199" s="264"/>
      <c r="G199" s="264"/>
      <c r="H199" s="264"/>
      <c r="I199" s="264"/>
      <c r="J199" s="264"/>
      <c r="K199" s="264"/>
      <c r="L199" s="264"/>
      <c r="M199" s="264"/>
      <c r="N199" s="264"/>
      <c r="O199" s="256"/>
      <c r="P199" s="264"/>
      <c r="Q199" s="264"/>
      <c r="R199" s="53"/>
      <c r="S199" s="53"/>
      <c r="T199" s="53"/>
      <c r="U199" s="53"/>
    </row>
    <row r="200" spans="1:21">
      <c r="A200" s="452"/>
      <c r="B200" s="264"/>
      <c r="C200" s="264"/>
      <c r="D200" s="398"/>
      <c r="E200" s="398"/>
      <c r="F200" s="264"/>
      <c r="G200" s="264"/>
      <c r="H200" s="264"/>
      <c r="I200" s="264"/>
      <c r="J200" s="264"/>
      <c r="K200" s="264"/>
      <c r="L200" s="264"/>
      <c r="M200" s="264"/>
      <c r="N200" s="264"/>
      <c r="O200" s="256"/>
      <c r="P200" s="264"/>
      <c r="Q200" s="264"/>
      <c r="R200" s="53"/>
      <c r="S200" s="53"/>
      <c r="T200" s="53"/>
      <c r="U200" s="53"/>
    </row>
    <row r="201" spans="1:21">
      <c r="A201" s="452"/>
      <c r="B201" s="264"/>
      <c r="C201" s="264"/>
      <c r="D201" s="398"/>
      <c r="E201" s="398"/>
      <c r="F201" s="264"/>
      <c r="G201" s="264"/>
      <c r="H201" s="264"/>
      <c r="I201" s="264"/>
      <c r="J201" s="264"/>
      <c r="K201" s="264"/>
      <c r="L201" s="264"/>
      <c r="M201" s="264"/>
      <c r="N201" s="264"/>
      <c r="O201" s="256"/>
      <c r="P201" s="264"/>
      <c r="Q201" s="264"/>
      <c r="R201" s="53"/>
      <c r="S201" s="53"/>
      <c r="T201" s="53"/>
      <c r="U201" s="53"/>
    </row>
    <row r="202" spans="1:21">
      <c r="A202" s="97"/>
      <c r="B202" s="53"/>
      <c r="C202" s="53"/>
      <c r="D202" s="66"/>
      <c r="E202" s="66"/>
      <c r="F202" s="53"/>
      <c r="G202" s="53"/>
      <c r="H202" s="53"/>
      <c r="I202" s="53"/>
      <c r="J202" s="53"/>
      <c r="K202" s="53"/>
      <c r="L202" s="53"/>
      <c r="M202" s="53"/>
      <c r="N202" s="53"/>
      <c r="O202" s="57"/>
      <c r="P202" s="53"/>
      <c r="Q202" s="53"/>
      <c r="R202" s="53"/>
      <c r="S202" s="53"/>
      <c r="T202" s="53"/>
      <c r="U202" s="53"/>
    </row>
    <row r="203" spans="1:21">
      <c r="A203" s="97"/>
      <c r="B203" s="53"/>
      <c r="C203" s="53"/>
      <c r="D203" s="66"/>
      <c r="E203" s="66"/>
      <c r="F203" s="53"/>
      <c r="G203" s="53"/>
      <c r="H203" s="53"/>
      <c r="I203" s="53"/>
      <c r="J203" s="53"/>
      <c r="K203" s="53"/>
      <c r="L203" s="53"/>
      <c r="M203" s="53"/>
      <c r="N203" s="53"/>
      <c r="O203" s="57"/>
      <c r="P203" s="53"/>
      <c r="Q203" s="53"/>
      <c r="R203" s="53"/>
      <c r="S203" s="53"/>
      <c r="T203" s="53"/>
      <c r="U203" s="53"/>
    </row>
    <row r="204" spans="1:21">
      <c r="A204" s="97"/>
      <c r="B204" s="53"/>
      <c r="C204" s="53"/>
      <c r="D204" s="66"/>
      <c r="E204" s="66"/>
      <c r="F204" s="53"/>
      <c r="G204" s="53"/>
      <c r="H204" s="53"/>
      <c r="I204" s="53"/>
      <c r="J204" s="53"/>
      <c r="K204" s="53"/>
      <c r="L204" s="53"/>
      <c r="M204" s="53"/>
      <c r="N204" s="53"/>
      <c r="O204" s="57"/>
      <c r="P204" s="53"/>
      <c r="Q204" s="53"/>
      <c r="R204" s="53"/>
      <c r="S204" s="53"/>
      <c r="T204" s="53"/>
      <c r="U204" s="53"/>
    </row>
    <row r="205" spans="1:21">
      <c r="A205" s="97"/>
      <c r="B205" s="53"/>
      <c r="C205" s="53"/>
      <c r="D205" s="66"/>
      <c r="E205" s="66"/>
      <c r="F205" s="53"/>
      <c r="G205" s="53"/>
      <c r="H205" s="53"/>
      <c r="I205" s="53"/>
      <c r="J205" s="53"/>
      <c r="K205" s="53"/>
      <c r="L205" s="53"/>
      <c r="M205" s="53"/>
      <c r="N205" s="53"/>
      <c r="O205" s="57"/>
      <c r="P205" s="53"/>
      <c r="Q205" s="53"/>
      <c r="R205" s="53"/>
      <c r="S205" s="53"/>
      <c r="T205" s="53"/>
      <c r="U205" s="53"/>
    </row>
    <row r="206" spans="1:21">
      <c r="A206" s="97"/>
      <c r="B206" s="53"/>
      <c r="C206" s="53"/>
      <c r="D206" s="66"/>
      <c r="E206" s="66"/>
      <c r="F206" s="53"/>
      <c r="G206" s="53"/>
      <c r="H206" s="53"/>
      <c r="I206" s="53"/>
      <c r="J206" s="53"/>
      <c r="K206" s="53"/>
      <c r="L206" s="53"/>
      <c r="M206" s="53"/>
      <c r="N206" s="53"/>
      <c r="O206" s="57"/>
      <c r="P206" s="53"/>
      <c r="Q206" s="53"/>
      <c r="R206" s="53"/>
      <c r="S206" s="53"/>
      <c r="T206" s="53"/>
      <c r="U206" s="53"/>
    </row>
    <row r="207" spans="1:21">
      <c r="A207" s="97"/>
      <c r="B207" s="53"/>
      <c r="C207" s="53"/>
      <c r="D207" s="66"/>
      <c r="E207" s="66"/>
      <c r="F207" s="53"/>
      <c r="G207" s="53"/>
      <c r="H207" s="53"/>
      <c r="I207" s="53"/>
      <c r="J207" s="53"/>
      <c r="K207" s="53"/>
      <c r="L207" s="53"/>
      <c r="M207" s="53"/>
      <c r="N207" s="53"/>
      <c r="O207" s="57"/>
      <c r="P207" s="53"/>
      <c r="Q207" s="53"/>
      <c r="R207" s="53"/>
      <c r="S207" s="53"/>
      <c r="T207" s="53"/>
      <c r="U207" s="53"/>
    </row>
    <row r="208" spans="1:21">
      <c r="A208" s="97"/>
      <c r="B208" s="53"/>
      <c r="C208" s="53"/>
      <c r="D208" s="66"/>
      <c r="E208" s="66"/>
      <c r="F208" s="53"/>
      <c r="G208" s="53"/>
      <c r="H208" s="53"/>
      <c r="I208" s="53"/>
      <c r="J208" s="53"/>
      <c r="K208" s="53"/>
      <c r="L208" s="53"/>
      <c r="M208" s="53"/>
      <c r="N208" s="53"/>
      <c r="O208" s="57"/>
      <c r="P208" s="53"/>
      <c r="Q208" s="53"/>
      <c r="R208" s="53"/>
      <c r="S208" s="53"/>
      <c r="T208" s="53"/>
      <c r="U208" s="53"/>
    </row>
    <row r="209" spans="1:21">
      <c r="A209" s="97"/>
      <c r="B209" s="53"/>
      <c r="C209" s="53"/>
      <c r="D209" s="66"/>
      <c r="E209" s="66"/>
      <c r="F209" s="53"/>
      <c r="G209" s="53"/>
      <c r="H209" s="53"/>
      <c r="I209" s="53"/>
      <c r="J209" s="53"/>
      <c r="K209" s="53"/>
      <c r="L209" s="53"/>
      <c r="M209" s="53"/>
      <c r="N209" s="53"/>
      <c r="O209" s="57"/>
      <c r="P209" s="53"/>
      <c r="Q209" s="53"/>
      <c r="R209" s="53"/>
      <c r="S209" s="53"/>
      <c r="T209" s="53"/>
      <c r="U209" s="53"/>
    </row>
    <row r="210" spans="1:21">
      <c r="A210" s="97"/>
      <c r="B210" s="53"/>
      <c r="C210" s="53"/>
      <c r="D210" s="66"/>
      <c r="E210" s="66"/>
      <c r="F210" s="53"/>
      <c r="G210" s="53"/>
      <c r="H210" s="53"/>
      <c r="I210" s="53"/>
      <c r="J210" s="53"/>
      <c r="K210" s="53"/>
      <c r="L210" s="53"/>
      <c r="M210" s="53"/>
      <c r="N210" s="53"/>
      <c r="O210" s="57"/>
      <c r="P210" s="53"/>
      <c r="Q210" s="53"/>
      <c r="R210" s="53"/>
      <c r="S210" s="53"/>
      <c r="T210" s="53"/>
      <c r="U210" s="53"/>
    </row>
    <row r="211" spans="1:21">
      <c r="A211" s="97"/>
      <c r="B211" s="53"/>
      <c r="C211" s="53"/>
      <c r="D211" s="66"/>
      <c r="E211" s="66"/>
      <c r="F211" s="53"/>
      <c r="G211" s="53"/>
      <c r="H211" s="53"/>
      <c r="I211" s="53"/>
      <c r="J211" s="53"/>
      <c r="K211" s="53"/>
      <c r="L211" s="53"/>
      <c r="M211" s="53"/>
      <c r="N211" s="53"/>
      <c r="O211" s="57"/>
      <c r="P211" s="53"/>
      <c r="Q211" s="53"/>
      <c r="R211" s="53"/>
      <c r="S211" s="53"/>
      <c r="T211" s="53"/>
      <c r="U211" s="53"/>
    </row>
    <row r="212" spans="1:21">
      <c r="A212" s="97"/>
      <c r="B212" s="53"/>
      <c r="C212" s="53"/>
      <c r="D212" s="66"/>
      <c r="E212" s="66"/>
      <c r="F212" s="53"/>
      <c r="G212" s="53"/>
      <c r="H212" s="53"/>
      <c r="I212" s="53"/>
      <c r="J212" s="53"/>
      <c r="K212" s="53"/>
      <c r="L212" s="53"/>
      <c r="M212" s="53"/>
      <c r="N212" s="53"/>
      <c r="O212" s="57"/>
      <c r="P212" s="53"/>
      <c r="Q212" s="53"/>
      <c r="R212" s="53"/>
      <c r="S212" s="53"/>
      <c r="T212" s="53"/>
      <c r="U212" s="53"/>
    </row>
    <row r="213" spans="1:21">
      <c r="A213" s="97"/>
      <c r="B213" s="53"/>
      <c r="C213" s="53"/>
      <c r="D213" s="66"/>
      <c r="E213" s="66"/>
      <c r="F213" s="53"/>
      <c r="G213" s="53"/>
      <c r="H213" s="53"/>
      <c r="I213" s="53"/>
      <c r="J213" s="53"/>
      <c r="K213" s="53"/>
      <c r="L213" s="53"/>
      <c r="M213" s="53"/>
      <c r="N213" s="53"/>
      <c r="O213" s="57"/>
      <c r="P213" s="53"/>
      <c r="Q213" s="53"/>
      <c r="R213" s="53"/>
      <c r="S213" s="53"/>
      <c r="T213" s="53"/>
      <c r="U213" s="53"/>
    </row>
    <row r="214" spans="1:21">
      <c r="A214" s="97"/>
      <c r="B214" s="53"/>
      <c r="C214" s="53"/>
      <c r="D214" s="66"/>
      <c r="E214" s="66"/>
      <c r="F214" s="53"/>
      <c r="G214" s="53"/>
      <c r="H214" s="53"/>
      <c r="I214" s="53"/>
      <c r="J214" s="53"/>
      <c r="K214" s="53"/>
      <c r="L214" s="53"/>
      <c r="M214" s="53"/>
      <c r="N214" s="53"/>
      <c r="O214" s="57"/>
      <c r="P214" s="53"/>
      <c r="Q214" s="53"/>
      <c r="R214" s="53"/>
      <c r="S214" s="53"/>
      <c r="T214" s="53"/>
      <c r="U214" s="53"/>
    </row>
    <row r="215" spans="1:21">
      <c r="A215" s="97"/>
      <c r="B215" s="53"/>
      <c r="C215" s="53"/>
      <c r="D215" s="66"/>
      <c r="E215" s="66"/>
      <c r="F215" s="53"/>
      <c r="G215" s="53"/>
      <c r="H215" s="53"/>
      <c r="I215" s="53"/>
      <c r="J215" s="53"/>
      <c r="K215" s="53"/>
      <c r="L215" s="53"/>
      <c r="M215" s="53"/>
      <c r="N215" s="53"/>
      <c r="O215" s="57"/>
      <c r="P215" s="53"/>
      <c r="Q215" s="53"/>
      <c r="R215" s="53"/>
      <c r="S215" s="53"/>
      <c r="T215" s="53"/>
      <c r="U215" s="53"/>
    </row>
    <row r="216" spans="1:21">
      <c r="A216" s="97"/>
      <c r="B216" s="53"/>
      <c r="C216" s="53"/>
      <c r="D216" s="66"/>
      <c r="E216" s="66"/>
      <c r="F216" s="53"/>
      <c r="G216" s="53"/>
      <c r="H216" s="53"/>
      <c r="I216" s="53"/>
      <c r="J216" s="53"/>
      <c r="K216" s="53"/>
      <c r="L216" s="53"/>
      <c r="M216" s="53"/>
      <c r="N216" s="53"/>
      <c r="O216" s="57"/>
      <c r="P216" s="53"/>
      <c r="Q216" s="53"/>
      <c r="R216" s="53"/>
      <c r="S216" s="53"/>
      <c r="T216" s="53"/>
      <c r="U216" s="53"/>
    </row>
    <row r="217" spans="1:21">
      <c r="A217" s="97"/>
      <c r="B217" s="53"/>
      <c r="C217" s="53"/>
      <c r="D217" s="66"/>
      <c r="E217" s="66"/>
      <c r="F217" s="53"/>
      <c r="G217" s="53"/>
      <c r="H217" s="53"/>
      <c r="I217" s="53"/>
      <c r="J217" s="53"/>
      <c r="K217" s="53"/>
      <c r="L217" s="53"/>
      <c r="M217" s="53"/>
      <c r="N217" s="53"/>
      <c r="O217" s="57"/>
      <c r="P217" s="53"/>
      <c r="Q217" s="53"/>
      <c r="R217" s="53"/>
      <c r="S217" s="53"/>
      <c r="T217" s="53"/>
      <c r="U217" s="53"/>
    </row>
    <row r="218" spans="1:21">
      <c r="A218" s="97"/>
      <c r="B218" s="53"/>
      <c r="C218" s="53"/>
      <c r="D218" s="66"/>
      <c r="E218" s="66"/>
      <c r="F218" s="53"/>
      <c r="G218" s="53"/>
      <c r="H218" s="53"/>
      <c r="I218" s="53"/>
      <c r="J218" s="53"/>
      <c r="K218" s="53"/>
      <c r="L218" s="53"/>
      <c r="M218" s="53"/>
      <c r="N218" s="53"/>
      <c r="O218" s="57"/>
      <c r="P218" s="53"/>
      <c r="Q218" s="53"/>
      <c r="R218" s="53"/>
      <c r="S218" s="53"/>
      <c r="T218" s="53"/>
      <c r="U218" s="53"/>
    </row>
    <row r="219" spans="1:21">
      <c r="A219" s="97"/>
      <c r="B219" s="53"/>
      <c r="C219" s="53"/>
      <c r="D219" s="66"/>
      <c r="E219" s="66"/>
      <c r="F219" s="53"/>
      <c r="G219" s="53"/>
      <c r="H219" s="53"/>
      <c r="I219" s="53"/>
      <c r="J219" s="53"/>
      <c r="K219" s="53"/>
      <c r="L219" s="53"/>
      <c r="M219" s="53"/>
      <c r="N219" s="53"/>
      <c r="O219" s="57"/>
      <c r="P219" s="53"/>
      <c r="Q219" s="53"/>
      <c r="R219" s="53"/>
      <c r="S219" s="53"/>
      <c r="T219" s="53"/>
      <c r="U219" s="53"/>
    </row>
    <row r="220" spans="1:21">
      <c r="A220" s="97"/>
      <c r="B220" s="53"/>
      <c r="C220" s="53"/>
      <c r="D220" s="66"/>
      <c r="E220" s="66"/>
      <c r="F220" s="53"/>
      <c r="G220" s="53"/>
      <c r="H220" s="53"/>
      <c r="I220" s="53"/>
      <c r="J220" s="53"/>
      <c r="K220" s="53"/>
      <c r="L220" s="53"/>
      <c r="M220" s="53"/>
      <c r="N220" s="53"/>
      <c r="O220" s="57"/>
      <c r="P220" s="53"/>
      <c r="Q220" s="53"/>
      <c r="R220" s="53"/>
      <c r="S220" s="53"/>
      <c r="T220" s="53"/>
      <c r="U220" s="53"/>
    </row>
    <row r="221" spans="1:21">
      <c r="A221" s="97"/>
      <c r="B221" s="53"/>
      <c r="C221" s="53"/>
      <c r="D221" s="66"/>
      <c r="E221" s="66"/>
      <c r="F221" s="53"/>
      <c r="G221" s="53"/>
      <c r="H221" s="53"/>
      <c r="I221" s="53"/>
      <c r="J221" s="53"/>
      <c r="K221" s="53"/>
      <c r="L221" s="53"/>
      <c r="M221" s="53"/>
      <c r="N221" s="53"/>
      <c r="O221" s="57"/>
      <c r="P221" s="53"/>
      <c r="Q221" s="53"/>
      <c r="R221" s="53"/>
      <c r="S221" s="53"/>
      <c r="T221" s="53"/>
      <c r="U221" s="53"/>
    </row>
    <row r="222" spans="1:21">
      <c r="A222" s="97"/>
      <c r="B222" s="53"/>
      <c r="C222" s="53"/>
      <c r="D222" s="66"/>
      <c r="E222" s="66"/>
      <c r="F222" s="53"/>
      <c r="G222" s="53"/>
      <c r="H222" s="53"/>
      <c r="I222" s="53"/>
      <c r="J222" s="53"/>
      <c r="K222" s="53"/>
      <c r="L222" s="53"/>
      <c r="M222" s="53"/>
      <c r="N222" s="53"/>
      <c r="O222" s="57"/>
      <c r="P222" s="53"/>
      <c r="Q222" s="53"/>
      <c r="R222" s="53"/>
      <c r="S222" s="53"/>
      <c r="T222" s="53"/>
      <c r="U222" s="53"/>
    </row>
    <row r="223" spans="1:21">
      <c r="A223" s="97"/>
      <c r="B223" s="53"/>
      <c r="C223" s="53"/>
      <c r="D223" s="66"/>
      <c r="E223" s="66"/>
      <c r="F223" s="53"/>
      <c r="G223" s="53"/>
      <c r="H223" s="53"/>
      <c r="I223" s="53"/>
      <c r="J223" s="53"/>
      <c r="K223" s="53"/>
      <c r="L223" s="53"/>
      <c r="M223" s="53"/>
      <c r="N223" s="53"/>
      <c r="O223" s="57"/>
      <c r="P223" s="53"/>
      <c r="Q223" s="53"/>
      <c r="R223" s="53"/>
      <c r="S223" s="53"/>
      <c r="T223" s="53"/>
      <c r="U223" s="53"/>
    </row>
    <row r="224" spans="1:21">
      <c r="A224" s="97"/>
      <c r="B224" s="53"/>
      <c r="C224" s="53"/>
      <c r="D224" s="66"/>
      <c r="E224" s="66"/>
      <c r="F224" s="53"/>
      <c r="G224" s="53"/>
      <c r="H224" s="53"/>
      <c r="I224" s="53"/>
      <c r="J224" s="53"/>
      <c r="K224" s="53"/>
      <c r="L224" s="53"/>
      <c r="M224" s="53"/>
      <c r="N224" s="53"/>
      <c r="O224" s="57"/>
      <c r="P224" s="53"/>
      <c r="Q224" s="53"/>
      <c r="R224" s="53"/>
      <c r="S224" s="53"/>
      <c r="T224" s="53"/>
      <c r="U224" s="53"/>
    </row>
    <row r="225" spans="1:21">
      <c r="A225" s="97"/>
      <c r="B225" s="53"/>
      <c r="C225" s="53"/>
      <c r="D225" s="66"/>
      <c r="E225" s="66"/>
      <c r="F225" s="53"/>
      <c r="G225" s="53"/>
      <c r="H225" s="53"/>
      <c r="I225" s="53"/>
      <c r="J225" s="53"/>
      <c r="K225" s="53"/>
      <c r="L225" s="53"/>
      <c r="M225" s="53"/>
      <c r="N225" s="53"/>
      <c r="O225" s="57"/>
      <c r="P225" s="53"/>
      <c r="Q225" s="53"/>
      <c r="R225" s="53"/>
      <c r="S225" s="53"/>
      <c r="T225" s="53"/>
      <c r="U225" s="53"/>
    </row>
    <row r="226" spans="1:21">
      <c r="A226" s="97"/>
      <c r="B226" s="53"/>
      <c r="C226" s="53"/>
      <c r="D226" s="66"/>
      <c r="E226" s="66"/>
      <c r="F226" s="53"/>
      <c r="G226" s="53"/>
      <c r="H226" s="53"/>
      <c r="I226" s="53"/>
      <c r="J226" s="53"/>
      <c r="K226" s="53"/>
      <c r="L226" s="53"/>
      <c r="M226" s="53"/>
      <c r="N226" s="53"/>
      <c r="O226" s="57"/>
      <c r="P226" s="53"/>
      <c r="Q226" s="53"/>
      <c r="R226" s="53"/>
      <c r="S226" s="53"/>
      <c r="T226" s="53"/>
      <c r="U226" s="53"/>
    </row>
    <row r="227" spans="1:21">
      <c r="A227" s="97"/>
      <c r="B227" s="53"/>
      <c r="C227" s="53"/>
      <c r="D227" s="66"/>
      <c r="E227" s="66"/>
      <c r="F227" s="53"/>
      <c r="G227" s="53"/>
      <c r="H227" s="53"/>
      <c r="I227" s="53"/>
      <c r="J227" s="53"/>
      <c r="K227" s="53"/>
      <c r="L227" s="53"/>
      <c r="M227" s="53"/>
      <c r="N227" s="53"/>
      <c r="O227" s="57"/>
      <c r="P227" s="53"/>
      <c r="Q227" s="53"/>
      <c r="R227" s="53"/>
      <c r="S227" s="53"/>
      <c r="T227" s="53"/>
      <c r="U227" s="53"/>
    </row>
    <row r="228" spans="1:21">
      <c r="A228" s="97"/>
      <c r="B228" s="53"/>
      <c r="C228" s="53"/>
      <c r="D228" s="66"/>
      <c r="E228" s="66"/>
      <c r="F228" s="53"/>
      <c r="G228" s="53"/>
      <c r="H228" s="53"/>
      <c r="I228" s="53"/>
      <c r="J228" s="53"/>
      <c r="K228" s="53"/>
      <c r="L228" s="53"/>
      <c r="M228" s="53"/>
      <c r="N228" s="53"/>
      <c r="O228" s="57"/>
      <c r="P228" s="53"/>
      <c r="Q228" s="53"/>
      <c r="R228" s="53"/>
      <c r="S228" s="53"/>
      <c r="T228" s="53"/>
      <c r="U228" s="53"/>
    </row>
    <row r="229" spans="1:21">
      <c r="A229" s="97"/>
      <c r="B229" s="53"/>
      <c r="C229" s="53"/>
      <c r="D229" s="66"/>
      <c r="E229" s="66"/>
      <c r="F229" s="53"/>
      <c r="G229" s="53"/>
      <c r="H229" s="53"/>
      <c r="I229" s="53"/>
      <c r="J229" s="53"/>
      <c r="K229" s="53"/>
      <c r="L229" s="53"/>
      <c r="M229" s="53"/>
      <c r="N229" s="53"/>
      <c r="O229" s="57"/>
      <c r="P229" s="53"/>
      <c r="Q229" s="53"/>
      <c r="R229" s="53"/>
      <c r="S229" s="53"/>
      <c r="T229" s="53"/>
      <c r="U229" s="53"/>
    </row>
    <row r="230" spans="1:21">
      <c r="A230" s="97"/>
      <c r="B230" s="53"/>
      <c r="C230" s="53"/>
      <c r="D230" s="66"/>
      <c r="E230" s="66"/>
      <c r="F230" s="53"/>
      <c r="G230" s="53"/>
      <c r="H230" s="53"/>
      <c r="I230" s="53"/>
      <c r="J230" s="53"/>
      <c r="K230" s="53"/>
      <c r="L230" s="53"/>
      <c r="M230" s="53"/>
      <c r="N230" s="53"/>
      <c r="O230" s="57"/>
      <c r="P230" s="53"/>
      <c r="Q230" s="53"/>
      <c r="R230" s="53"/>
      <c r="S230" s="53"/>
      <c r="T230" s="53"/>
      <c r="U230" s="53"/>
    </row>
    <row r="231" spans="1:21">
      <c r="A231" s="97"/>
      <c r="B231" s="53"/>
      <c r="C231" s="53"/>
      <c r="D231" s="66"/>
      <c r="E231" s="66"/>
      <c r="F231" s="53"/>
      <c r="G231" s="53"/>
      <c r="H231" s="53"/>
      <c r="I231" s="53"/>
      <c r="J231" s="53"/>
      <c r="K231" s="53"/>
      <c r="L231" s="53"/>
      <c r="M231" s="53"/>
      <c r="N231" s="53"/>
      <c r="O231" s="57"/>
      <c r="P231" s="53"/>
      <c r="Q231" s="53"/>
      <c r="R231" s="53"/>
      <c r="S231" s="53"/>
      <c r="T231" s="53"/>
      <c r="U231" s="53"/>
    </row>
    <row r="232" spans="1:21">
      <c r="A232" s="97"/>
      <c r="B232" s="53"/>
      <c r="C232" s="53"/>
      <c r="D232" s="66"/>
      <c r="E232" s="66"/>
      <c r="F232" s="53"/>
      <c r="G232" s="53"/>
      <c r="H232" s="53"/>
      <c r="I232" s="53"/>
      <c r="J232" s="53"/>
      <c r="K232" s="53"/>
      <c r="L232" s="53"/>
      <c r="M232" s="53"/>
      <c r="N232" s="53"/>
      <c r="O232" s="57"/>
      <c r="P232" s="53"/>
      <c r="Q232" s="53"/>
      <c r="R232" s="53"/>
      <c r="S232" s="53"/>
      <c r="T232" s="53"/>
      <c r="U232" s="53"/>
    </row>
    <row r="233" spans="1:21">
      <c r="A233" s="97"/>
      <c r="B233" s="53"/>
      <c r="C233" s="53"/>
      <c r="D233" s="66"/>
      <c r="E233" s="66"/>
      <c r="F233" s="53"/>
      <c r="G233" s="53"/>
      <c r="H233" s="53"/>
      <c r="I233" s="53"/>
      <c r="J233" s="53"/>
      <c r="K233" s="53"/>
      <c r="L233" s="53"/>
      <c r="M233" s="53"/>
      <c r="N233" s="53"/>
      <c r="O233" s="57"/>
      <c r="P233" s="53"/>
      <c r="Q233" s="53"/>
      <c r="R233" s="53"/>
      <c r="S233" s="53"/>
      <c r="T233" s="53"/>
      <c r="U233" s="53"/>
    </row>
    <row r="234" spans="1:21">
      <c r="A234" s="97"/>
      <c r="B234" s="53"/>
      <c r="C234" s="53"/>
      <c r="D234" s="66"/>
      <c r="E234" s="66"/>
      <c r="F234" s="53"/>
      <c r="G234" s="53"/>
      <c r="H234" s="53"/>
      <c r="I234" s="53"/>
      <c r="J234" s="53"/>
      <c r="K234" s="53"/>
      <c r="L234" s="53"/>
      <c r="M234" s="53"/>
      <c r="N234" s="53"/>
      <c r="O234" s="57"/>
      <c r="P234" s="53"/>
      <c r="Q234" s="53"/>
      <c r="R234" s="53"/>
      <c r="S234" s="53"/>
      <c r="T234" s="53"/>
      <c r="U234" s="53"/>
    </row>
    <row r="235" spans="1:21">
      <c r="A235" s="97"/>
      <c r="B235" s="53"/>
      <c r="C235" s="53"/>
      <c r="D235" s="66"/>
      <c r="E235" s="66"/>
      <c r="F235" s="53"/>
      <c r="G235" s="53"/>
      <c r="H235" s="53"/>
      <c r="I235" s="53"/>
      <c r="J235" s="53"/>
      <c r="K235" s="53"/>
      <c r="L235" s="53"/>
      <c r="M235" s="53"/>
      <c r="N235" s="53"/>
      <c r="O235" s="57"/>
      <c r="P235" s="53"/>
      <c r="Q235" s="53"/>
      <c r="R235" s="53"/>
      <c r="S235" s="53"/>
      <c r="T235" s="53"/>
      <c r="U235" s="53"/>
    </row>
    <row r="236" spans="1:21">
      <c r="A236" s="97"/>
      <c r="B236" s="53"/>
      <c r="C236" s="53"/>
      <c r="D236" s="66"/>
      <c r="E236" s="66"/>
      <c r="F236" s="53"/>
      <c r="G236" s="53"/>
      <c r="H236" s="53"/>
      <c r="I236" s="53"/>
      <c r="J236" s="53"/>
      <c r="K236" s="53"/>
      <c r="L236" s="53"/>
      <c r="M236" s="53"/>
      <c r="N236" s="53"/>
      <c r="O236" s="57"/>
      <c r="P236" s="53"/>
      <c r="Q236" s="53"/>
      <c r="R236" s="53"/>
      <c r="S236" s="53"/>
      <c r="T236" s="53"/>
      <c r="U236" s="53"/>
    </row>
    <row r="237" spans="1:21">
      <c r="A237" s="97"/>
      <c r="B237" s="53"/>
      <c r="C237" s="53"/>
      <c r="D237" s="66"/>
      <c r="E237" s="66"/>
      <c r="F237" s="53"/>
      <c r="G237" s="53"/>
      <c r="H237" s="53"/>
      <c r="I237" s="53"/>
      <c r="J237" s="53"/>
      <c r="K237" s="53"/>
      <c r="L237" s="53"/>
      <c r="M237" s="53"/>
      <c r="N237" s="53"/>
      <c r="O237" s="57"/>
      <c r="P237" s="53"/>
      <c r="Q237" s="53"/>
      <c r="R237" s="53"/>
      <c r="S237" s="53"/>
      <c r="T237" s="53"/>
      <c r="U237" s="53"/>
    </row>
    <row r="238" spans="1:21">
      <c r="A238" s="97"/>
      <c r="B238" s="53"/>
      <c r="C238" s="53"/>
      <c r="D238" s="66"/>
      <c r="E238" s="66"/>
      <c r="F238" s="53"/>
      <c r="G238" s="53"/>
      <c r="H238" s="53"/>
      <c r="I238" s="53"/>
      <c r="J238" s="53"/>
      <c r="K238" s="53"/>
      <c r="L238" s="53"/>
      <c r="M238" s="53"/>
      <c r="N238" s="53"/>
      <c r="O238" s="57"/>
      <c r="P238" s="53"/>
      <c r="Q238" s="53"/>
      <c r="R238" s="53"/>
      <c r="S238" s="53"/>
      <c r="T238" s="53"/>
      <c r="U238" s="53"/>
    </row>
    <row r="239" spans="1:21">
      <c r="A239" s="97"/>
      <c r="B239" s="53"/>
      <c r="C239" s="53"/>
      <c r="D239" s="66"/>
      <c r="E239" s="66"/>
      <c r="F239" s="53"/>
      <c r="G239" s="53"/>
      <c r="H239" s="53"/>
      <c r="I239" s="53"/>
      <c r="J239" s="53"/>
      <c r="K239" s="53"/>
      <c r="L239" s="53"/>
      <c r="M239" s="53"/>
      <c r="N239" s="53"/>
      <c r="O239" s="57"/>
      <c r="P239" s="53"/>
      <c r="Q239" s="53"/>
      <c r="R239" s="53"/>
      <c r="S239" s="53"/>
      <c r="T239" s="53"/>
      <c r="U239" s="53"/>
    </row>
    <row r="240" spans="1:21">
      <c r="A240" s="97"/>
      <c r="B240" s="53"/>
      <c r="C240" s="53"/>
      <c r="D240" s="66"/>
      <c r="E240" s="66"/>
      <c r="F240" s="53"/>
      <c r="G240" s="53"/>
      <c r="H240" s="53"/>
      <c r="I240" s="53"/>
      <c r="J240" s="53"/>
      <c r="K240" s="53"/>
      <c r="L240" s="53"/>
      <c r="M240" s="53"/>
      <c r="N240" s="53"/>
      <c r="O240" s="57"/>
      <c r="P240" s="53"/>
      <c r="Q240" s="53"/>
      <c r="R240" s="53"/>
      <c r="S240" s="53"/>
      <c r="T240" s="53"/>
      <c r="U240" s="53"/>
    </row>
    <row r="241" spans="1:21">
      <c r="A241" s="97"/>
      <c r="B241" s="53"/>
      <c r="C241" s="53"/>
      <c r="D241" s="66"/>
      <c r="E241" s="66"/>
      <c r="F241" s="53"/>
      <c r="G241" s="53"/>
      <c r="H241" s="53"/>
      <c r="I241" s="53"/>
      <c r="J241" s="53"/>
      <c r="K241" s="53"/>
      <c r="L241" s="53"/>
      <c r="M241" s="53"/>
      <c r="N241" s="53"/>
      <c r="O241" s="57"/>
      <c r="P241" s="53"/>
      <c r="Q241" s="53"/>
      <c r="R241" s="53"/>
      <c r="S241" s="53"/>
      <c r="T241" s="53"/>
      <c r="U241" s="53"/>
    </row>
    <row r="242" spans="1:21">
      <c r="A242" s="97"/>
      <c r="B242" s="53"/>
      <c r="C242" s="53"/>
      <c r="D242" s="66"/>
      <c r="E242" s="66"/>
      <c r="F242" s="53"/>
      <c r="G242" s="53"/>
      <c r="H242" s="53"/>
      <c r="I242" s="53"/>
      <c r="J242" s="53"/>
      <c r="K242" s="53"/>
      <c r="L242" s="53"/>
      <c r="M242" s="53"/>
      <c r="N242" s="53"/>
      <c r="O242" s="57"/>
      <c r="P242" s="53"/>
      <c r="Q242" s="53"/>
      <c r="R242" s="53"/>
      <c r="S242" s="53"/>
      <c r="T242" s="53"/>
      <c r="U242" s="53"/>
    </row>
    <row r="243" spans="1:21">
      <c r="A243" s="97"/>
      <c r="B243" s="53"/>
      <c r="C243" s="53"/>
      <c r="D243" s="66"/>
      <c r="E243" s="66"/>
      <c r="F243" s="53"/>
      <c r="G243" s="53"/>
      <c r="H243" s="53"/>
      <c r="I243" s="53"/>
      <c r="J243" s="53"/>
      <c r="K243" s="53"/>
      <c r="L243" s="53"/>
      <c r="M243" s="53"/>
      <c r="N243" s="53"/>
      <c r="O243" s="57"/>
      <c r="P243" s="53"/>
      <c r="Q243" s="53"/>
      <c r="R243" s="53"/>
      <c r="S243" s="53"/>
      <c r="T243" s="53"/>
      <c r="U243" s="53"/>
    </row>
    <row r="244" spans="1:21">
      <c r="A244" s="97"/>
      <c r="B244" s="53"/>
      <c r="C244" s="53"/>
      <c r="D244" s="66"/>
      <c r="E244" s="66"/>
      <c r="F244" s="53"/>
      <c r="G244" s="53"/>
      <c r="H244" s="53"/>
      <c r="I244" s="53"/>
      <c r="J244" s="53"/>
      <c r="K244" s="53"/>
      <c r="L244" s="53"/>
      <c r="M244" s="53"/>
      <c r="N244" s="53"/>
      <c r="O244" s="57"/>
      <c r="P244" s="53"/>
      <c r="Q244" s="53"/>
      <c r="R244" s="53"/>
      <c r="S244" s="53"/>
      <c r="T244" s="53"/>
      <c r="U244" s="53"/>
    </row>
    <row r="245" spans="1:21">
      <c r="A245" s="97"/>
      <c r="B245" s="53"/>
      <c r="C245" s="53"/>
      <c r="D245" s="66"/>
      <c r="E245" s="66"/>
      <c r="F245" s="53"/>
      <c r="G245" s="53"/>
      <c r="H245" s="53"/>
      <c r="I245" s="53"/>
      <c r="J245" s="53"/>
      <c r="K245" s="53"/>
      <c r="L245" s="53"/>
      <c r="M245" s="53"/>
      <c r="N245" s="53"/>
      <c r="O245" s="57"/>
      <c r="P245" s="53"/>
      <c r="Q245" s="53"/>
      <c r="R245" s="53"/>
      <c r="S245" s="53"/>
      <c r="T245" s="53"/>
      <c r="U245" s="53"/>
    </row>
    <row r="246" spans="1:21">
      <c r="A246" s="97"/>
      <c r="B246" s="53"/>
      <c r="C246" s="53"/>
      <c r="D246" s="66"/>
      <c r="E246" s="66"/>
      <c r="F246" s="53"/>
      <c r="G246" s="53"/>
      <c r="H246" s="53"/>
      <c r="I246" s="53"/>
      <c r="J246" s="53"/>
      <c r="K246" s="53"/>
      <c r="L246" s="53"/>
      <c r="M246" s="53"/>
      <c r="N246" s="53"/>
      <c r="O246" s="57"/>
      <c r="P246" s="53"/>
      <c r="Q246" s="53"/>
      <c r="R246" s="53"/>
      <c r="S246" s="53"/>
      <c r="T246" s="53"/>
      <c r="U246" s="53"/>
    </row>
  </sheetData>
  <sheetProtection password="C420" sheet="1" objects="1" scenarios="1"/>
  <mergeCells count="22">
    <mergeCell ref="H12:I12"/>
    <mergeCell ref="D7:E7"/>
    <mergeCell ref="D8:E8"/>
    <mergeCell ref="D9:E9"/>
    <mergeCell ref="D10:E10"/>
    <mergeCell ref="D11:E11"/>
    <mergeCell ref="I2:M2"/>
    <mergeCell ref="A1:F2"/>
    <mergeCell ref="I1:M1"/>
    <mergeCell ref="H153:I153"/>
    <mergeCell ref="H152:I152"/>
    <mergeCell ref="H149:I149"/>
    <mergeCell ref="H150:I150"/>
    <mergeCell ref="H7:I7"/>
    <mergeCell ref="H8:I8"/>
    <mergeCell ref="H9:I9"/>
    <mergeCell ref="H10:I10"/>
    <mergeCell ref="H11:I11"/>
    <mergeCell ref="D12:E12"/>
    <mergeCell ref="H151:I151"/>
    <mergeCell ref="H147:I147"/>
    <mergeCell ref="H148:I148"/>
  </mergeCells>
  <pageMargins left="0.5" right="0.5" top="0.5" bottom="0.2" header="0.5" footer="0.5"/>
  <pageSetup scale="85" fitToHeight="2" orientation="portrait" horizontalDpi="300" verticalDpi="300" r:id="rId1"/>
  <headerFooter alignWithMargins="0">
    <oddFooter>&amp;RPage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4.9989318521683403E-2"/>
  </sheetPr>
  <dimension ref="A1:Q99"/>
  <sheetViews>
    <sheetView showGridLines="0" zoomScale="120" zoomScaleNormal="120" workbookViewId="0">
      <selection activeCell="K90" sqref="K90"/>
    </sheetView>
  </sheetViews>
  <sheetFormatPr defaultRowHeight="12.75"/>
  <cols>
    <col min="1" max="1" width="3.140625" style="3" customWidth="1"/>
    <col min="2" max="2" width="10.5703125" style="1" bestFit="1" customWidth="1"/>
    <col min="3" max="3" width="12" style="1" customWidth="1"/>
    <col min="4" max="4" width="12.28515625" style="1" customWidth="1"/>
    <col min="5" max="5" width="13.42578125" style="1" customWidth="1"/>
    <col min="6" max="6" width="12.140625" style="1" customWidth="1"/>
    <col min="7" max="7" width="12.42578125" style="1" customWidth="1"/>
    <col min="8" max="8" width="12.85546875" style="1" customWidth="1"/>
    <col min="9" max="9" width="10.42578125" style="1" customWidth="1"/>
    <col min="10" max="10" width="6" style="1" customWidth="1"/>
    <col min="11" max="11" width="29.85546875" style="1" bestFit="1" customWidth="1"/>
    <col min="12" max="12" width="9.85546875" style="2" customWidth="1"/>
    <col min="13" max="13" width="7.42578125" style="1" customWidth="1"/>
    <col min="14" max="16384" width="9.140625" style="1"/>
  </cols>
  <sheetData>
    <row r="1" spans="1:17" ht="18" customHeight="1">
      <c r="A1" s="775" t="s">
        <v>815</v>
      </c>
      <c r="B1" s="776"/>
      <c r="C1" s="776"/>
      <c r="D1" s="776"/>
      <c r="E1" s="776"/>
      <c r="F1" s="601" t="s">
        <v>422</v>
      </c>
      <c r="G1" s="753">
        <f>'Mound &lt;1%'!G1</f>
        <v>2345</v>
      </c>
      <c r="H1" s="753"/>
      <c r="I1" s="422"/>
    </row>
    <row r="2" spans="1:17" ht="15.75" customHeight="1">
      <c r="A2" s="777"/>
      <c r="B2" s="778"/>
      <c r="C2" s="778"/>
      <c r="D2" s="778"/>
      <c r="E2" s="778"/>
      <c r="F2" s="600" t="s">
        <v>803</v>
      </c>
      <c r="G2" s="751" t="str">
        <f>IF(ISBLANK('Site Evaluation'!B6),"",'Site Evaluation'!B6)</f>
        <v/>
      </c>
      <c r="H2" s="751"/>
      <c r="I2" s="752"/>
    </row>
    <row r="3" spans="1:17" s="6" customFormat="1" ht="18.75">
      <c r="A3" s="408"/>
      <c r="B3" s="16"/>
      <c r="C3" s="16"/>
      <c r="D3" s="16"/>
      <c r="E3" s="16"/>
      <c r="F3" s="16"/>
      <c r="G3" s="16"/>
      <c r="H3" s="16"/>
      <c r="I3" s="16"/>
      <c r="J3" s="85"/>
      <c r="K3" s="85"/>
      <c r="L3" s="65"/>
      <c r="M3" s="85"/>
      <c r="N3" s="85"/>
      <c r="O3" s="56"/>
    </row>
    <row r="4" spans="1:17" ht="18">
      <c r="A4" s="409" t="s">
        <v>57</v>
      </c>
      <c r="B4" s="410" t="s">
        <v>56</v>
      </c>
      <c r="C4" s="293"/>
      <c r="D4" s="293"/>
      <c r="E4" s="293"/>
      <c r="F4" s="293"/>
      <c r="G4" s="293"/>
      <c r="H4" s="292"/>
      <c r="I4" s="264"/>
      <c r="J4" s="53"/>
      <c r="K4" s="53"/>
      <c r="L4" s="1"/>
    </row>
    <row r="5" spans="1:17">
      <c r="A5" s="271"/>
      <c r="B5" s="264"/>
      <c r="C5" s="264"/>
      <c r="D5" s="264"/>
      <c r="E5" s="264"/>
      <c r="F5" s="264"/>
      <c r="G5" s="264"/>
      <c r="H5" s="264"/>
      <c r="I5" s="264"/>
      <c r="J5" s="53"/>
      <c r="K5" s="53"/>
      <c r="L5" s="1"/>
    </row>
    <row r="6" spans="1:17" ht="18">
      <c r="A6" s="271"/>
      <c r="B6" s="264" t="s">
        <v>55</v>
      </c>
      <c r="C6" s="264"/>
      <c r="D6" s="264"/>
      <c r="E6" s="264"/>
      <c r="F6" s="264"/>
      <c r="G6" s="264"/>
      <c r="H6" s="264"/>
      <c r="I6" s="264"/>
      <c r="J6" s="53"/>
      <c r="K6" s="53"/>
      <c r="L6" s="1"/>
      <c r="M6" s="5"/>
      <c r="N6" s="5"/>
      <c r="O6" s="2"/>
      <c r="P6" s="5"/>
      <c r="Q6" s="5"/>
    </row>
    <row r="7" spans="1:17" ht="18.75" thickBot="1">
      <c r="A7" s="271"/>
      <c r="B7" s="264"/>
      <c r="C7" s="264"/>
      <c r="D7" s="264"/>
      <c r="E7" s="264"/>
      <c r="F7" s="264"/>
      <c r="G7" s="264"/>
      <c r="H7" s="264"/>
      <c r="I7" s="264"/>
      <c r="J7" s="53"/>
      <c r="K7" s="53"/>
      <c r="L7" s="1"/>
      <c r="M7" s="5"/>
      <c r="N7" s="5"/>
      <c r="O7" s="2"/>
      <c r="P7" s="5"/>
      <c r="Q7" s="5"/>
    </row>
    <row r="8" spans="1:17" ht="15" thickBot="1">
      <c r="A8" s="271"/>
      <c r="B8" s="264"/>
      <c r="C8" s="267">
        <v>4</v>
      </c>
      <c r="D8" s="263" t="s">
        <v>54</v>
      </c>
      <c r="E8" s="267">
        <v>5</v>
      </c>
      <c r="F8" s="264" t="s">
        <v>53</v>
      </c>
      <c r="G8" s="411">
        <f>C8*E8</f>
        <v>20</v>
      </c>
      <c r="H8" s="264" t="s">
        <v>589</v>
      </c>
      <c r="I8" s="264"/>
      <c r="J8" s="53"/>
      <c r="K8" s="53"/>
      <c r="L8" s="1"/>
      <c r="O8" s="2"/>
    </row>
    <row r="9" spans="1:17">
      <c r="A9" s="271"/>
      <c r="B9" s="264"/>
      <c r="C9" s="264"/>
      <c r="D9" s="264"/>
      <c r="E9" s="264"/>
      <c r="F9" s="264"/>
      <c r="G9" s="257"/>
      <c r="H9" s="264"/>
      <c r="I9" s="264"/>
      <c r="J9" s="53"/>
      <c r="K9" s="53"/>
      <c r="L9" s="1"/>
    </row>
    <row r="10" spans="1:17" ht="14.25">
      <c r="A10" s="271"/>
      <c r="B10" s="264" t="s">
        <v>647</v>
      </c>
      <c r="C10" s="264"/>
      <c r="D10" s="264"/>
      <c r="E10" s="264"/>
      <c r="F10" s="264"/>
      <c r="G10" s="264"/>
      <c r="H10" s="264"/>
      <c r="I10" s="264"/>
      <c r="J10" s="53"/>
      <c r="K10" s="53"/>
      <c r="L10" s="1"/>
    </row>
    <row r="11" spans="1:17" ht="13.5" thickBot="1">
      <c r="A11" s="271"/>
      <c r="B11" s="264"/>
      <c r="C11" s="264"/>
      <c r="D11" s="264"/>
      <c r="E11" s="264"/>
      <c r="F11" s="264"/>
      <c r="G11" s="264"/>
      <c r="H11" s="264"/>
      <c r="I11" s="264"/>
      <c r="J11" s="53"/>
      <c r="K11" s="53"/>
      <c r="L11" s="1"/>
    </row>
    <row r="12" spans="1:17" ht="15" thickBot="1">
      <c r="A12" s="271"/>
      <c r="B12" s="264"/>
      <c r="C12" s="264" t="s">
        <v>52</v>
      </c>
      <c r="D12" s="267"/>
      <c r="E12" s="412" t="s">
        <v>648</v>
      </c>
      <c r="F12" s="274">
        <f>PI()*D12^2</f>
        <v>0</v>
      </c>
      <c r="G12" s="264" t="s">
        <v>589</v>
      </c>
      <c r="H12" s="264"/>
      <c r="I12" s="264"/>
      <c r="J12" s="53"/>
      <c r="K12" s="53"/>
      <c r="L12" s="1"/>
    </row>
    <row r="13" spans="1:17" ht="14.25">
      <c r="A13" s="271"/>
      <c r="B13" s="264"/>
      <c r="C13" s="264"/>
      <c r="D13" s="257"/>
      <c r="E13" s="412"/>
      <c r="F13" s="275"/>
      <c r="G13" s="264"/>
      <c r="H13" s="264"/>
      <c r="I13" s="264"/>
      <c r="J13" s="53"/>
      <c r="K13" s="53"/>
      <c r="L13" s="1"/>
    </row>
    <row r="14" spans="1:17" ht="14.25">
      <c r="A14" s="271"/>
      <c r="B14" s="264" t="s">
        <v>51</v>
      </c>
      <c r="C14" s="264"/>
      <c r="D14" s="264"/>
      <c r="E14" s="267"/>
      <c r="F14" s="264" t="s">
        <v>589</v>
      </c>
      <c r="G14" s="264"/>
      <c r="H14" s="264"/>
      <c r="I14" s="264"/>
      <c r="J14" s="53"/>
      <c r="K14" s="53"/>
      <c r="L14" s="1"/>
    </row>
    <row r="15" spans="1:17" ht="12" customHeight="1">
      <c r="A15" s="271"/>
      <c r="B15" s="264"/>
      <c r="C15" s="264"/>
      <c r="D15" s="264"/>
      <c r="E15" s="264"/>
      <c r="F15" s="264"/>
      <c r="G15" s="264"/>
      <c r="H15" s="264"/>
      <c r="I15" s="264"/>
      <c r="J15" s="53"/>
      <c r="K15" s="53"/>
      <c r="L15" s="1"/>
    </row>
    <row r="16" spans="1:17" ht="18">
      <c r="A16" s="409" t="s">
        <v>50</v>
      </c>
      <c r="B16" s="410" t="s">
        <v>49</v>
      </c>
      <c r="C16" s="293"/>
      <c r="D16" s="293"/>
      <c r="E16" s="413"/>
      <c r="F16" s="293"/>
      <c r="G16" s="293"/>
      <c r="H16" s="292"/>
      <c r="I16" s="264"/>
      <c r="J16" s="53"/>
      <c r="K16" s="53"/>
      <c r="L16" s="1"/>
    </row>
    <row r="17" spans="1:15">
      <c r="A17" s="271"/>
      <c r="B17" s="264"/>
      <c r="C17" s="264"/>
      <c r="D17" s="264"/>
      <c r="E17" s="270"/>
      <c r="F17" s="264"/>
      <c r="G17" s="264"/>
      <c r="H17" s="264"/>
      <c r="I17" s="264"/>
      <c r="J17" s="53"/>
      <c r="K17" s="53"/>
      <c r="L17" s="1"/>
    </row>
    <row r="18" spans="1:15">
      <c r="A18" s="271"/>
      <c r="B18" s="264" t="s">
        <v>48</v>
      </c>
      <c r="C18" s="264"/>
      <c r="D18" s="264"/>
      <c r="E18" s="264"/>
      <c r="F18" s="264"/>
      <c r="G18" s="264"/>
      <c r="H18" s="264"/>
      <c r="I18" s="264"/>
      <c r="J18" s="53"/>
      <c r="K18" s="53"/>
      <c r="L18" s="1"/>
    </row>
    <row r="19" spans="1:15">
      <c r="A19" s="271"/>
      <c r="B19" s="264" t="s">
        <v>47</v>
      </c>
      <c r="C19" s="264"/>
      <c r="D19" s="264"/>
      <c r="E19" s="264"/>
      <c r="F19" s="264"/>
      <c r="G19" s="264"/>
      <c r="H19" s="264"/>
      <c r="I19" s="264"/>
      <c r="J19" s="53"/>
      <c r="K19" s="53"/>
      <c r="L19" s="56"/>
      <c r="M19" s="53"/>
      <c r="N19" s="53"/>
      <c r="O19" s="53"/>
    </row>
    <row r="20" spans="1:15" ht="13.5" thickBot="1">
      <c r="A20" s="271"/>
      <c r="B20" s="264"/>
      <c r="C20" s="264"/>
      <c r="D20" s="264"/>
      <c r="E20" s="264"/>
      <c r="F20" s="264"/>
      <c r="G20" s="264"/>
      <c r="H20" s="264"/>
      <c r="I20" s="264"/>
      <c r="J20" s="53"/>
      <c r="K20" s="53"/>
      <c r="L20" s="56"/>
      <c r="M20" s="53"/>
      <c r="N20" s="53"/>
      <c r="O20" s="53"/>
    </row>
    <row r="21" spans="1:15" ht="15" thickBot="1">
      <c r="A21" s="271"/>
      <c r="B21" s="264" t="s">
        <v>46</v>
      </c>
      <c r="C21" s="264"/>
      <c r="D21" s="266">
        <f>MAX(G8,F12,E14)</f>
        <v>20</v>
      </c>
      <c r="E21" s="264" t="s">
        <v>649</v>
      </c>
      <c r="F21" s="264"/>
      <c r="G21" s="274">
        <f>D21*7.5/12</f>
        <v>12.5</v>
      </c>
      <c r="H21" s="264" t="s">
        <v>45</v>
      </c>
      <c r="I21" s="264"/>
      <c r="M21" s="53"/>
      <c r="N21" s="53"/>
      <c r="O21" s="53"/>
    </row>
    <row r="22" spans="1:15">
      <c r="A22" s="271"/>
      <c r="B22" s="264"/>
      <c r="C22" s="264"/>
      <c r="D22" s="264"/>
      <c r="E22" s="264"/>
      <c r="F22" s="264"/>
      <c r="G22" s="264"/>
      <c r="H22" s="264"/>
      <c r="I22" s="264"/>
      <c r="M22" s="53"/>
      <c r="N22" s="53"/>
      <c r="O22" s="53"/>
    </row>
    <row r="23" spans="1:15" ht="10.5" customHeight="1">
      <c r="A23" s="271"/>
      <c r="B23" s="270"/>
      <c r="C23" s="264"/>
      <c r="D23" s="264"/>
      <c r="E23" s="264"/>
      <c r="F23" s="264"/>
      <c r="G23" s="264"/>
      <c r="H23" s="264"/>
      <c r="I23" s="264"/>
      <c r="M23" s="53"/>
      <c r="N23" s="53"/>
      <c r="O23" s="53"/>
    </row>
    <row r="24" spans="1:15" ht="18">
      <c r="A24" s="409" t="s">
        <v>502</v>
      </c>
      <c r="B24" s="410" t="s">
        <v>503</v>
      </c>
      <c r="C24" s="293"/>
      <c r="D24" s="293"/>
      <c r="E24" s="293"/>
      <c r="F24" s="293"/>
      <c r="G24" s="293"/>
      <c r="H24" s="292"/>
      <c r="I24" s="264"/>
      <c r="J24" s="53"/>
      <c r="K24" s="89" t="s">
        <v>44</v>
      </c>
      <c r="L24" s="53"/>
      <c r="M24" s="53"/>
      <c r="N24" s="53"/>
      <c r="O24" s="53"/>
    </row>
    <row r="25" spans="1:15" ht="15.75">
      <c r="A25" s="271"/>
      <c r="B25" s="264"/>
      <c r="C25" s="264"/>
      <c r="D25" s="264"/>
      <c r="E25" s="264"/>
      <c r="F25" s="264"/>
      <c r="G25" s="264"/>
      <c r="H25" s="264"/>
      <c r="I25" s="264"/>
      <c r="J25" s="53"/>
      <c r="K25" s="89" t="s">
        <v>43</v>
      </c>
      <c r="L25" s="53"/>
      <c r="M25" s="53"/>
      <c r="N25" s="53"/>
      <c r="O25" s="53"/>
    </row>
    <row r="26" spans="1:15" ht="15.75">
      <c r="A26" s="271"/>
      <c r="B26" s="264" t="s">
        <v>41</v>
      </c>
      <c r="C26" s="264"/>
      <c r="D26" s="264"/>
      <c r="E26" s="264"/>
      <c r="F26" s="267">
        <v>39</v>
      </c>
      <c r="G26" s="264" t="s">
        <v>5</v>
      </c>
      <c r="H26" s="264"/>
      <c r="I26" s="264"/>
      <c r="J26" s="53"/>
      <c r="K26" s="89" t="s">
        <v>42</v>
      </c>
      <c r="L26" s="53"/>
      <c r="M26" s="53"/>
      <c r="N26" s="53"/>
      <c r="O26" s="53"/>
    </row>
    <row r="27" spans="1:15" ht="15.75">
      <c r="A27" s="271"/>
      <c r="B27" s="264"/>
      <c r="C27" s="264"/>
      <c r="D27" s="264"/>
      <c r="E27" s="264"/>
      <c r="F27" s="257"/>
      <c r="G27" s="264"/>
      <c r="H27" s="264"/>
      <c r="I27" s="264"/>
      <c r="K27" s="89" t="s">
        <v>40</v>
      </c>
      <c r="L27" s="53"/>
      <c r="M27" s="53"/>
      <c r="N27" s="53"/>
      <c r="O27" s="53"/>
    </row>
    <row r="28" spans="1:15">
      <c r="A28" s="271"/>
      <c r="B28" s="264" t="s">
        <v>505</v>
      </c>
      <c r="C28" s="264"/>
      <c r="D28" s="264"/>
      <c r="E28" s="264"/>
      <c r="F28" s="264"/>
      <c r="G28" s="264"/>
      <c r="H28" s="264"/>
      <c r="I28" s="264"/>
      <c r="J28" s="53"/>
      <c r="K28" s="53"/>
      <c r="L28" s="56"/>
      <c r="M28" s="53"/>
      <c r="N28" s="53"/>
      <c r="O28" s="53"/>
    </row>
    <row r="29" spans="1:15">
      <c r="A29" s="271"/>
      <c r="B29" s="13" t="s">
        <v>504</v>
      </c>
      <c r="C29" s="264"/>
      <c r="D29" s="264"/>
      <c r="E29" s="264"/>
      <c r="F29" s="264"/>
      <c r="G29" s="264"/>
      <c r="H29" s="264"/>
      <c r="I29" s="264"/>
      <c r="J29" s="53"/>
      <c r="K29" s="53"/>
      <c r="L29" s="56"/>
      <c r="M29" s="53"/>
      <c r="N29" s="53"/>
      <c r="O29" s="53"/>
    </row>
    <row r="30" spans="1:15" ht="13.5" thickBot="1">
      <c r="A30" s="271"/>
      <c r="B30" s="13"/>
      <c r="C30" s="264"/>
      <c r="D30" s="264"/>
      <c r="E30" s="264"/>
      <c r="F30" s="264"/>
      <c r="G30" s="264"/>
      <c r="H30" s="264"/>
      <c r="I30" s="264"/>
      <c r="J30" s="53"/>
      <c r="K30" s="53"/>
      <c r="L30" s="56"/>
      <c r="M30" s="53"/>
      <c r="N30" s="53"/>
      <c r="O30" s="53"/>
    </row>
    <row r="31" spans="1:15" ht="13.5" thickBot="1">
      <c r="A31" s="271"/>
      <c r="B31" s="264" t="s">
        <v>39</v>
      </c>
      <c r="C31" s="266">
        <f>F26</f>
        <v>39</v>
      </c>
      <c r="D31" s="264" t="s">
        <v>38</v>
      </c>
      <c r="E31" s="272">
        <f>G21</f>
        <v>12.5</v>
      </c>
      <c r="F31" s="256" t="s">
        <v>18</v>
      </c>
      <c r="G31" s="274">
        <f>C31*E31</f>
        <v>487.5</v>
      </c>
      <c r="H31" s="283" t="s">
        <v>0</v>
      </c>
      <c r="I31" s="264"/>
      <c r="J31" s="53"/>
      <c r="K31" s="53"/>
      <c r="L31" s="56"/>
      <c r="M31" s="53"/>
      <c r="N31" s="53"/>
      <c r="O31" s="53"/>
    </row>
    <row r="32" spans="1:15" ht="12.75" customHeight="1">
      <c r="A32" s="271"/>
      <c r="B32" s="264"/>
      <c r="C32" s="264"/>
      <c r="D32" s="264"/>
      <c r="E32" s="264"/>
      <c r="F32" s="264"/>
      <c r="G32" s="264"/>
      <c r="H32" s="264"/>
      <c r="I32" s="264"/>
      <c r="J32" s="53"/>
      <c r="K32" s="53"/>
      <c r="L32" s="56"/>
      <c r="M32" s="53"/>
      <c r="N32" s="53"/>
      <c r="O32" s="53"/>
    </row>
    <row r="33" spans="1:15" ht="12.75" customHeight="1">
      <c r="A33" s="271"/>
      <c r="B33" s="264"/>
      <c r="C33" s="264"/>
      <c r="D33" s="264"/>
      <c r="E33" s="264"/>
      <c r="F33" s="264"/>
      <c r="G33" s="264"/>
      <c r="H33" s="264"/>
      <c r="I33" s="264"/>
      <c r="J33" s="53"/>
      <c r="K33" s="53"/>
      <c r="L33" s="56"/>
      <c r="M33" s="53"/>
      <c r="N33" s="53"/>
      <c r="O33" s="53"/>
    </row>
    <row r="34" spans="1:15" ht="18">
      <c r="A34" s="409" t="s">
        <v>37</v>
      </c>
      <c r="B34" s="293" t="s">
        <v>650</v>
      </c>
      <c r="C34" s="293"/>
      <c r="D34" s="293"/>
      <c r="E34" s="293"/>
      <c r="F34" s="293"/>
      <c r="G34" s="293"/>
      <c r="H34" s="292"/>
      <c r="I34" s="264"/>
      <c r="J34" s="53"/>
      <c r="K34" s="172"/>
      <c r="L34" s="172"/>
      <c r="M34" s="172"/>
      <c r="N34" s="172"/>
      <c r="O34" s="172"/>
    </row>
    <row r="35" spans="1:15">
      <c r="A35" s="271"/>
      <c r="B35" s="13" t="s">
        <v>506</v>
      </c>
      <c r="C35" s="264"/>
      <c r="D35" s="264"/>
      <c r="E35" s="264"/>
      <c r="F35" s="264"/>
      <c r="G35" s="264"/>
      <c r="H35" s="264"/>
      <c r="I35" s="264"/>
      <c r="J35" s="53"/>
      <c r="K35" s="172"/>
      <c r="L35" s="172"/>
      <c r="M35" s="172"/>
      <c r="N35" s="172"/>
      <c r="O35" s="172"/>
    </row>
    <row r="36" spans="1:15" ht="13.5" thickBot="1">
      <c r="A36" s="271"/>
      <c r="B36" s="264"/>
      <c r="C36" s="264"/>
      <c r="D36" s="264"/>
      <c r="E36" s="264"/>
      <c r="F36" s="264"/>
      <c r="G36" s="264"/>
      <c r="H36" s="264"/>
      <c r="I36" s="264"/>
      <c r="J36" s="53"/>
      <c r="K36" s="172"/>
      <c r="L36" s="172"/>
      <c r="M36" s="172"/>
      <c r="N36" s="172"/>
      <c r="O36" s="172"/>
    </row>
    <row r="37" spans="1:15" ht="13.5" thickBot="1">
      <c r="A37" s="271"/>
      <c r="B37" s="414" t="s">
        <v>36</v>
      </c>
      <c r="C37" s="267">
        <v>8</v>
      </c>
      <c r="D37" s="271" t="s">
        <v>546</v>
      </c>
      <c r="E37" s="272">
        <f>G21</f>
        <v>12.5</v>
      </c>
      <c r="F37" s="264" t="s">
        <v>35</v>
      </c>
      <c r="G37" s="274">
        <f>(C37+2)*E37</f>
        <v>125</v>
      </c>
      <c r="H37" s="264" t="s">
        <v>0</v>
      </c>
      <c r="I37" s="264"/>
      <c r="J37" s="53"/>
      <c r="K37" s="172"/>
      <c r="L37" s="172"/>
      <c r="M37" s="172"/>
      <c r="N37" s="172"/>
      <c r="O37" s="172"/>
    </row>
    <row r="38" spans="1:15" ht="14.25" customHeight="1">
      <c r="A38" s="271"/>
      <c r="B38" s="398"/>
      <c r="C38" s="269" t="s">
        <v>507</v>
      </c>
      <c r="D38" s="264"/>
      <c r="E38" s="264"/>
      <c r="F38" s="264"/>
      <c r="G38" s="264"/>
      <c r="H38" s="264"/>
      <c r="I38" s="264"/>
      <c r="J38" s="53"/>
      <c r="K38" s="172"/>
      <c r="L38" s="172"/>
      <c r="M38" s="172"/>
      <c r="N38" s="172"/>
      <c r="O38" s="172"/>
    </row>
    <row r="39" spans="1:15" ht="14.25" customHeight="1">
      <c r="A39" s="271"/>
      <c r="B39" s="398"/>
      <c r="C39" s="269"/>
      <c r="D39" s="264"/>
      <c r="E39" s="264"/>
      <c r="F39" s="264"/>
      <c r="G39" s="264"/>
      <c r="H39" s="264"/>
      <c r="I39" s="264"/>
      <c r="J39" s="53"/>
      <c r="K39" s="172"/>
      <c r="L39" s="172"/>
      <c r="M39" s="172"/>
      <c r="N39" s="172"/>
      <c r="O39" s="172"/>
    </row>
    <row r="40" spans="1:15" ht="14.25" customHeight="1">
      <c r="A40" s="271"/>
      <c r="B40" s="398"/>
      <c r="C40" s="269"/>
      <c r="D40" s="264"/>
      <c r="E40" s="264"/>
      <c r="F40" s="264"/>
      <c r="G40" s="264"/>
      <c r="H40" s="264"/>
      <c r="I40" s="264"/>
      <c r="J40" s="53"/>
      <c r="K40" s="172"/>
      <c r="L40" s="172"/>
      <c r="M40" s="172"/>
      <c r="N40" s="172"/>
      <c r="O40" s="172"/>
    </row>
    <row r="41" spans="1:15" ht="18">
      <c r="A41" s="409" t="s">
        <v>508</v>
      </c>
      <c r="B41" s="410" t="s">
        <v>509</v>
      </c>
      <c r="C41" s="293"/>
      <c r="D41" s="293"/>
      <c r="E41" s="293"/>
      <c r="F41" s="293"/>
      <c r="G41" s="293"/>
      <c r="H41" s="292"/>
      <c r="I41" s="264"/>
      <c r="J41" s="53"/>
      <c r="K41" s="172"/>
      <c r="L41" s="172"/>
      <c r="M41" s="172"/>
      <c r="N41" s="172"/>
      <c r="O41" s="172"/>
    </row>
    <row r="42" spans="1:15">
      <c r="A42" s="271"/>
      <c r="B42" s="264"/>
      <c r="C42" s="264"/>
      <c r="D42" s="264"/>
      <c r="E42" s="264"/>
      <c r="F42" s="264"/>
      <c r="G42" s="264"/>
      <c r="H42" s="264"/>
      <c r="I42" s="264"/>
      <c r="J42" s="53"/>
      <c r="K42" s="172"/>
      <c r="L42" s="172"/>
      <c r="M42" s="172"/>
      <c r="N42" s="172"/>
      <c r="O42" s="172"/>
    </row>
    <row r="43" spans="1:15">
      <c r="A43" s="271"/>
      <c r="B43" s="282" t="s">
        <v>651</v>
      </c>
      <c r="C43" s="264"/>
      <c r="D43" s="264"/>
      <c r="E43" s="264"/>
      <c r="F43" s="264"/>
      <c r="G43" s="264"/>
      <c r="H43" s="264"/>
      <c r="I43" s="264"/>
      <c r="J43" s="53"/>
      <c r="K43" s="172"/>
      <c r="L43" s="172"/>
      <c r="M43" s="172"/>
      <c r="N43" s="172"/>
      <c r="O43" s="172"/>
    </row>
    <row r="44" spans="1:15">
      <c r="A44" s="271"/>
      <c r="B44" s="287" t="s">
        <v>510</v>
      </c>
      <c r="C44" s="264"/>
      <c r="D44" s="264"/>
      <c r="E44" s="264"/>
      <c r="F44" s="264"/>
      <c r="G44" s="264"/>
      <c r="H44" s="264"/>
      <c r="I44" s="264"/>
      <c r="J44" s="53"/>
      <c r="K44" s="172"/>
      <c r="L44" s="172"/>
      <c r="M44" s="172"/>
      <c r="N44" s="172"/>
      <c r="O44" s="172"/>
    </row>
    <row r="45" spans="1:15" ht="13.5" thickBot="1">
      <c r="A45" s="271"/>
      <c r="B45" s="287"/>
      <c r="C45" s="264"/>
      <c r="D45" s="264"/>
      <c r="E45" s="264"/>
      <c r="F45" s="264"/>
      <c r="G45" s="264"/>
      <c r="H45" s="264"/>
      <c r="I45" s="264"/>
      <c r="J45" s="53"/>
      <c r="K45" s="172"/>
      <c r="L45" s="172"/>
      <c r="M45" s="172"/>
      <c r="N45" s="172"/>
      <c r="O45" s="172"/>
    </row>
    <row r="46" spans="1:15" ht="13.5" thickBot="1">
      <c r="A46" s="271"/>
      <c r="B46" s="266">
        <f>IF(ISBLANK('Site Evaluation'!E26),"",'Site Evaluation'!E26)</f>
        <v>450</v>
      </c>
      <c r="C46" s="264" t="s">
        <v>34</v>
      </c>
      <c r="D46" s="267">
        <v>3</v>
      </c>
      <c r="E46" s="264" t="s">
        <v>33</v>
      </c>
      <c r="F46" s="411">
        <f>B46/D46</f>
        <v>150</v>
      </c>
      <c r="G46" s="264" t="s">
        <v>0</v>
      </c>
      <c r="H46" s="264"/>
      <c r="I46" s="264"/>
      <c r="J46" s="53"/>
      <c r="O46" s="53"/>
    </row>
    <row r="47" spans="1:15">
      <c r="A47" s="271"/>
      <c r="B47" s="257"/>
      <c r="C47" s="264"/>
      <c r="D47" s="257"/>
      <c r="E47" s="264"/>
      <c r="F47" s="256"/>
      <c r="G47" s="264"/>
      <c r="H47" s="264"/>
      <c r="I47" s="264"/>
      <c r="J47" s="53"/>
      <c r="O47" s="53"/>
    </row>
    <row r="48" spans="1:15">
      <c r="A48" s="271"/>
      <c r="B48" s="282" t="s">
        <v>28</v>
      </c>
      <c r="C48" s="264"/>
      <c r="D48" s="264"/>
      <c r="E48" s="264"/>
      <c r="F48" s="264"/>
      <c r="G48" s="264"/>
      <c r="H48" s="264"/>
      <c r="I48" s="264"/>
      <c r="O48" s="53"/>
    </row>
    <row r="49" spans="1:15">
      <c r="A49" s="271"/>
      <c r="B49" s="283"/>
      <c r="C49" s="264"/>
      <c r="D49" s="264"/>
      <c r="E49" s="264"/>
      <c r="F49" s="264"/>
      <c r="G49" s="264"/>
      <c r="H49" s="264"/>
      <c r="I49" s="264"/>
      <c r="O49" s="53"/>
    </row>
    <row r="50" spans="1:15">
      <c r="A50" s="271"/>
      <c r="B50" s="264" t="s">
        <v>27</v>
      </c>
      <c r="C50" s="264"/>
      <c r="D50" s="270"/>
      <c r="E50" s="272">
        <f>IF(ISBLANK(Pump!B41),"",Pump!B41)</f>
        <v>35</v>
      </c>
      <c r="F50" s="264" t="s">
        <v>26</v>
      </c>
      <c r="G50" s="264"/>
      <c r="H50" s="264"/>
      <c r="I50" s="264"/>
      <c r="O50" s="53"/>
    </row>
    <row r="51" spans="1:15">
      <c r="A51" s="271"/>
      <c r="B51" s="264"/>
      <c r="C51" s="264"/>
      <c r="D51" s="270"/>
      <c r="E51" s="270"/>
      <c r="F51" s="264"/>
      <c r="G51" s="264"/>
      <c r="H51" s="264"/>
      <c r="I51" s="264"/>
      <c r="O51" s="53"/>
    </row>
    <row r="52" spans="1:15">
      <c r="A52" s="271"/>
      <c r="B52" s="264" t="s">
        <v>25</v>
      </c>
      <c r="C52" s="264"/>
      <c r="D52" s="264"/>
      <c r="E52" s="478">
        <v>0.17</v>
      </c>
      <c r="F52" s="264" t="s">
        <v>547</v>
      </c>
      <c r="G52" s="264" t="s">
        <v>664</v>
      </c>
      <c r="H52" s="449">
        <f>Pump!D29</f>
        <v>2</v>
      </c>
      <c r="I52" s="264" t="s">
        <v>29</v>
      </c>
      <c r="O52" s="53"/>
    </row>
    <row r="53" spans="1:15" ht="13.5" thickBot="1">
      <c r="A53" s="271"/>
      <c r="B53" s="264"/>
      <c r="C53" s="264"/>
      <c r="D53" s="264"/>
      <c r="E53" s="257"/>
      <c r="F53" s="264"/>
      <c r="G53" s="264"/>
      <c r="H53" s="264"/>
      <c r="I53" s="264"/>
      <c r="O53" s="53"/>
    </row>
    <row r="54" spans="1:15" ht="13.5" thickBot="1">
      <c r="A54" s="271"/>
      <c r="B54" s="264" t="s">
        <v>24</v>
      </c>
      <c r="C54" s="264"/>
      <c r="D54" s="272">
        <f>E50</f>
        <v>35</v>
      </c>
      <c r="E54" s="264" t="s">
        <v>23</v>
      </c>
      <c r="F54" s="266">
        <f>E52</f>
        <v>0.17</v>
      </c>
      <c r="G54" s="264" t="s">
        <v>22</v>
      </c>
      <c r="H54" s="450">
        <f>D54*F54</f>
        <v>5.95</v>
      </c>
      <c r="I54" s="264" t="s">
        <v>9</v>
      </c>
      <c r="O54" s="53"/>
    </row>
    <row r="55" spans="1:15">
      <c r="A55" s="271"/>
      <c r="B55" s="264"/>
      <c r="C55" s="264"/>
      <c r="D55" s="275"/>
      <c r="E55" s="264"/>
      <c r="F55" s="257"/>
      <c r="G55" s="264"/>
      <c r="H55" s="275"/>
      <c r="I55" s="264"/>
      <c r="O55" s="53"/>
    </row>
    <row r="56" spans="1:15">
      <c r="A56" s="271"/>
      <c r="B56" s="14" t="s">
        <v>512</v>
      </c>
      <c r="C56" s="264"/>
      <c r="D56" s="264"/>
      <c r="E56" s="264"/>
      <c r="F56" s="264"/>
      <c r="G56" s="264"/>
      <c r="H56" s="264"/>
      <c r="I56" s="264"/>
      <c r="L56" s="1"/>
      <c r="O56" s="53"/>
    </row>
    <row r="57" spans="1:15">
      <c r="A57" s="271"/>
      <c r="B57" s="13" t="s">
        <v>511</v>
      </c>
      <c r="C57" s="264"/>
      <c r="D57" s="264"/>
      <c r="E57" s="264"/>
      <c r="F57" s="264"/>
      <c r="G57" s="264"/>
      <c r="H57" s="264"/>
      <c r="I57" s="264"/>
      <c r="L57" s="1"/>
      <c r="O57" s="53"/>
    </row>
    <row r="58" spans="1:15" ht="13.5" thickBot="1">
      <c r="A58" s="271"/>
      <c r="B58" s="13"/>
      <c r="C58" s="264"/>
      <c r="D58" s="264"/>
      <c r="E58" s="264"/>
      <c r="F58" s="264"/>
      <c r="G58" s="264"/>
      <c r="H58" s="264"/>
      <c r="I58" s="264"/>
      <c r="L58" s="1"/>
      <c r="O58" s="53"/>
    </row>
    <row r="59" spans="1:15" ht="13.5" thickBot="1">
      <c r="A59" s="271"/>
      <c r="B59" s="264"/>
      <c r="C59" s="266">
        <f>F46</f>
        <v>150</v>
      </c>
      <c r="D59" s="256" t="s">
        <v>21</v>
      </c>
      <c r="E59" s="272">
        <f>H54</f>
        <v>5.95</v>
      </c>
      <c r="F59" s="256" t="s">
        <v>20</v>
      </c>
      <c r="G59" s="274">
        <f>C59+E59</f>
        <v>155.94999999999999</v>
      </c>
      <c r="H59" s="264" t="s">
        <v>9</v>
      </c>
      <c r="I59" s="264"/>
      <c r="L59" s="1"/>
      <c r="O59" s="53"/>
    </row>
    <row r="60" spans="1:15">
      <c r="A60" s="271"/>
      <c r="B60" s="264"/>
      <c r="C60" s="264"/>
      <c r="D60" s="264"/>
      <c r="E60" s="264"/>
      <c r="F60" s="264"/>
      <c r="G60" s="264"/>
      <c r="H60" s="264"/>
      <c r="I60" s="264"/>
      <c r="L60" s="1"/>
      <c r="O60" s="53"/>
    </row>
    <row r="61" spans="1:15" ht="18">
      <c r="A61" s="409" t="s">
        <v>513</v>
      </c>
      <c r="B61" s="410" t="s">
        <v>514</v>
      </c>
      <c r="C61" s="293"/>
      <c r="D61" s="293"/>
      <c r="E61" s="293"/>
      <c r="F61" s="293"/>
      <c r="G61" s="293"/>
      <c r="H61" s="292"/>
      <c r="I61" s="264"/>
      <c r="L61" s="56"/>
      <c r="M61" s="53"/>
      <c r="N61" s="53"/>
      <c r="O61" s="53"/>
    </row>
    <row r="62" spans="1:15">
      <c r="A62" s="271"/>
      <c r="B62" s="13" t="s">
        <v>515</v>
      </c>
      <c r="C62" s="264"/>
      <c r="D62" s="264"/>
      <c r="E62" s="264"/>
      <c r="F62" s="264"/>
      <c r="G62" s="264"/>
      <c r="H62" s="257"/>
      <c r="I62" s="415"/>
      <c r="J62" s="57"/>
      <c r="K62" s="57"/>
      <c r="L62" s="56"/>
      <c r="M62" s="53"/>
      <c r="N62" s="53"/>
      <c r="O62" s="53"/>
    </row>
    <row r="63" spans="1:15" ht="13.5" thickBot="1">
      <c r="A63" s="271"/>
      <c r="B63" s="264"/>
      <c r="C63" s="264"/>
      <c r="D63" s="264"/>
      <c r="E63" s="264"/>
      <c r="F63" s="264"/>
      <c r="G63" s="264"/>
      <c r="H63" s="257"/>
      <c r="I63" s="415"/>
      <c r="J63" s="57"/>
      <c r="K63" s="57"/>
      <c r="L63" s="56"/>
      <c r="M63" s="53"/>
      <c r="N63" s="53"/>
      <c r="O63" s="53"/>
    </row>
    <row r="64" spans="1:15" ht="13.5" thickBot="1">
      <c r="A64" s="271"/>
      <c r="B64" s="272">
        <f>G59</f>
        <v>155.94999999999999</v>
      </c>
      <c r="C64" s="263" t="s">
        <v>19</v>
      </c>
      <c r="D64" s="272">
        <f>G21</f>
        <v>12.5</v>
      </c>
      <c r="E64" s="263" t="s">
        <v>18</v>
      </c>
      <c r="F64" s="274">
        <f>B64/D64</f>
        <v>12.475999999999999</v>
      </c>
      <c r="G64" s="264" t="s">
        <v>17</v>
      </c>
      <c r="H64" s="264"/>
      <c r="I64" s="264"/>
      <c r="J64" s="53"/>
      <c r="K64" s="53"/>
      <c r="L64" s="53"/>
      <c r="M64" s="53"/>
      <c r="N64" s="53"/>
      <c r="O64" s="53"/>
    </row>
    <row r="65" spans="1:15">
      <c r="A65" s="271"/>
      <c r="B65" s="264"/>
      <c r="C65" s="264"/>
      <c r="D65" s="264"/>
      <c r="E65" s="264"/>
      <c r="F65" s="264"/>
      <c r="G65" s="264"/>
      <c r="H65" s="264"/>
      <c r="I65" s="264"/>
      <c r="J65" s="53"/>
      <c r="K65" s="53"/>
      <c r="L65" s="53"/>
      <c r="M65" s="53"/>
      <c r="N65" s="53"/>
      <c r="O65" s="53"/>
    </row>
    <row r="66" spans="1:15" ht="18">
      <c r="A66" s="409" t="s">
        <v>16</v>
      </c>
      <c r="B66" s="293" t="s">
        <v>652</v>
      </c>
      <c r="C66" s="293"/>
      <c r="D66" s="416"/>
      <c r="E66" s="293"/>
      <c r="F66" s="293"/>
      <c r="G66" s="293"/>
      <c r="H66" s="292"/>
      <c r="I66" s="264"/>
      <c r="J66" s="53"/>
      <c r="K66" s="53"/>
      <c r="L66" s="53"/>
      <c r="M66" s="53"/>
      <c r="N66" s="53"/>
      <c r="O66" s="53"/>
    </row>
    <row r="67" spans="1:15">
      <c r="A67" s="271"/>
      <c r="B67" s="13" t="s">
        <v>516</v>
      </c>
      <c r="C67" s="13"/>
      <c r="D67" s="264"/>
      <c r="E67" s="264"/>
      <c r="F67" s="264"/>
      <c r="G67" s="264"/>
      <c r="H67" s="264"/>
      <c r="I67" s="264"/>
      <c r="K67" s="53"/>
      <c r="L67" s="53"/>
      <c r="M67" s="53"/>
      <c r="N67" s="53"/>
      <c r="O67" s="53"/>
    </row>
    <row r="68" spans="1:15" ht="13.5" thickBot="1">
      <c r="A68" s="271"/>
      <c r="B68" s="13"/>
      <c r="C68" s="13"/>
      <c r="D68" s="264"/>
      <c r="E68" s="264"/>
      <c r="F68" s="264"/>
      <c r="G68" s="264"/>
      <c r="H68" s="264"/>
      <c r="I68" s="264"/>
      <c r="K68" s="53"/>
      <c r="L68" s="53"/>
      <c r="M68" s="53"/>
      <c r="N68" s="53"/>
      <c r="O68" s="53"/>
    </row>
    <row r="69" spans="1:15" ht="13.5" thickBot="1">
      <c r="A69" s="271"/>
      <c r="B69" s="264"/>
      <c r="C69" s="263" t="s">
        <v>65</v>
      </c>
      <c r="D69" s="267">
        <v>3</v>
      </c>
      <c r="E69" s="264" t="s">
        <v>15</v>
      </c>
      <c r="F69" s="272">
        <f>G21</f>
        <v>12.5</v>
      </c>
      <c r="G69" s="264" t="s">
        <v>14</v>
      </c>
      <c r="H69" s="411">
        <f>D69*F69</f>
        <v>37.5</v>
      </c>
      <c r="I69" s="264" t="s">
        <v>9</v>
      </c>
      <c r="K69" s="53"/>
      <c r="L69" s="53"/>
      <c r="M69" s="53"/>
      <c r="N69" s="53"/>
      <c r="O69" s="53"/>
    </row>
    <row r="70" spans="1:15">
      <c r="A70" s="271"/>
      <c r="B70" s="264"/>
      <c r="C70" s="264"/>
      <c r="D70" s="264" t="s">
        <v>548</v>
      </c>
      <c r="E70" s="264"/>
      <c r="F70" s="264"/>
      <c r="G70" s="264"/>
      <c r="H70" s="264"/>
      <c r="I70" s="264"/>
      <c r="J70" s="53"/>
      <c r="K70" s="53"/>
      <c r="L70" s="53"/>
      <c r="M70" s="53"/>
      <c r="N70" s="53"/>
      <c r="O70" s="53"/>
    </row>
    <row r="71" spans="1:15">
      <c r="A71" s="271"/>
      <c r="B71" s="264"/>
      <c r="C71" s="264"/>
      <c r="D71" s="264"/>
      <c r="E71" s="264"/>
      <c r="F71" s="264"/>
      <c r="G71" s="264"/>
      <c r="H71" s="264"/>
      <c r="I71" s="264"/>
      <c r="J71" s="53"/>
      <c r="K71" s="53"/>
      <c r="L71" s="53"/>
      <c r="M71" s="53"/>
      <c r="N71" s="53"/>
      <c r="O71" s="53"/>
    </row>
    <row r="72" spans="1:15" ht="18">
      <c r="A72" s="409" t="s">
        <v>13</v>
      </c>
      <c r="B72" s="293" t="s">
        <v>653</v>
      </c>
      <c r="C72" s="293"/>
      <c r="D72" s="293"/>
      <c r="E72" s="293"/>
      <c r="F72" s="293"/>
      <c r="G72" s="417"/>
      <c r="H72" s="292"/>
      <c r="I72" s="264"/>
      <c r="J72" s="53"/>
      <c r="K72" s="53"/>
      <c r="L72" s="56"/>
      <c r="M72" s="53"/>
      <c r="N72" s="53"/>
      <c r="O72" s="53"/>
    </row>
    <row r="73" spans="1:15">
      <c r="A73" s="271"/>
      <c r="B73" s="270" t="s">
        <v>517</v>
      </c>
      <c r="C73" s="256"/>
      <c r="D73" s="256"/>
      <c r="E73" s="256"/>
      <c r="F73" s="256"/>
      <c r="G73" s="418"/>
      <c r="H73" s="256"/>
      <c r="I73" s="264"/>
      <c r="J73" s="53"/>
      <c r="K73" s="53"/>
      <c r="L73" s="56"/>
      <c r="M73" s="53"/>
      <c r="N73" s="53"/>
      <c r="O73" s="53"/>
    </row>
    <row r="74" spans="1:15" ht="13.5" thickBot="1">
      <c r="A74" s="271"/>
      <c r="B74" s="256"/>
      <c r="C74" s="256"/>
      <c r="D74" s="256"/>
      <c r="E74" s="256"/>
      <c r="F74" s="256"/>
      <c r="G74" s="418"/>
      <c r="H74" s="256"/>
      <c r="I74" s="264"/>
      <c r="J74" s="53"/>
      <c r="K74" s="53"/>
      <c r="L74" s="56"/>
      <c r="M74" s="53"/>
      <c r="N74" s="53"/>
      <c r="O74" s="53"/>
    </row>
    <row r="75" spans="1:15" ht="13.5" customHeight="1" thickBot="1">
      <c r="A75" s="271"/>
      <c r="B75" s="272">
        <f>G37</f>
        <v>125</v>
      </c>
      <c r="C75" s="256" t="s">
        <v>12</v>
      </c>
      <c r="D75" s="272">
        <f>G59</f>
        <v>155.94999999999999</v>
      </c>
      <c r="E75" s="419" t="s">
        <v>11</v>
      </c>
      <c r="F75" s="272">
        <f>H69</f>
        <v>37.5</v>
      </c>
      <c r="G75" s="256" t="s">
        <v>10</v>
      </c>
      <c r="H75" s="274">
        <f>B75+D75+F75</f>
        <v>318.45</v>
      </c>
      <c r="I75" s="264" t="s">
        <v>9</v>
      </c>
      <c r="K75" s="53"/>
      <c r="L75" s="56"/>
      <c r="M75" s="53"/>
      <c r="N75" s="53"/>
      <c r="O75" s="53"/>
    </row>
    <row r="76" spans="1:15">
      <c r="A76" s="264"/>
      <c r="B76" s="264"/>
      <c r="C76" s="264"/>
      <c r="D76" s="264"/>
      <c r="E76" s="264"/>
      <c r="F76" s="264"/>
      <c r="G76" s="264"/>
      <c r="H76" s="264"/>
      <c r="I76" s="264"/>
      <c r="K76" s="53"/>
      <c r="L76" s="56"/>
      <c r="M76" s="53"/>
      <c r="N76" s="53"/>
      <c r="O76" s="53"/>
    </row>
    <row r="77" spans="1:15" ht="18">
      <c r="A77" s="409" t="s">
        <v>8</v>
      </c>
      <c r="B77" s="410" t="s">
        <v>519</v>
      </c>
      <c r="C77" s="293"/>
      <c r="D77" s="293"/>
      <c r="E77" s="293"/>
      <c r="F77" s="293"/>
      <c r="G77" s="293"/>
      <c r="H77" s="292"/>
      <c r="I77" s="264"/>
      <c r="J77" s="53"/>
      <c r="K77" s="53"/>
      <c r="L77" s="56"/>
      <c r="M77" s="53"/>
      <c r="N77" s="53"/>
      <c r="O77" s="53"/>
    </row>
    <row r="78" spans="1:15">
      <c r="A78" s="271"/>
      <c r="B78" s="13" t="s">
        <v>518</v>
      </c>
      <c r="C78" s="264"/>
      <c r="D78" s="264"/>
      <c r="E78" s="264"/>
      <c r="F78" s="264"/>
      <c r="G78" s="264"/>
      <c r="H78" s="264"/>
      <c r="I78" s="264"/>
      <c r="J78" s="53"/>
      <c r="K78" s="53"/>
      <c r="L78" s="56"/>
      <c r="M78" s="53"/>
      <c r="N78" s="53"/>
      <c r="O78" s="53"/>
    </row>
    <row r="79" spans="1:15" ht="13.5" thickBot="1">
      <c r="A79" s="271"/>
      <c r="B79" s="264"/>
      <c r="C79" s="264"/>
      <c r="D79" s="264"/>
      <c r="E79" s="264"/>
      <c r="F79" s="264"/>
      <c r="G79" s="264"/>
      <c r="H79" s="264"/>
      <c r="I79" s="264"/>
      <c r="J79" s="53"/>
      <c r="K79" s="53"/>
      <c r="L79" s="56"/>
      <c r="M79" s="53"/>
      <c r="N79" s="53"/>
      <c r="O79" s="53"/>
    </row>
    <row r="80" spans="1:15" ht="13.5" thickBot="1">
      <c r="A80" s="271"/>
      <c r="B80" s="272">
        <f>H75</f>
        <v>318.45</v>
      </c>
      <c r="C80" s="264" t="s">
        <v>7</v>
      </c>
      <c r="D80" s="266">
        <f>F69</f>
        <v>12.5</v>
      </c>
      <c r="E80" s="264" t="s">
        <v>6</v>
      </c>
      <c r="F80" s="274">
        <f>B80/D80</f>
        <v>25.475999999999999</v>
      </c>
      <c r="G80" s="264" t="s">
        <v>5</v>
      </c>
      <c r="H80" s="256"/>
      <c r="I80" s="264"/>
      <c r="J80" s="53"/>
      <c r="K80" s="53"/>
      <c r="L80" s="56"/>
      <c r="M80" s="53"/>
      <c r="N80" s="53"/>
      <c r="O80" s="53"/>
    </row>
    <row r="81" spans="1:15">
      <c r="A81" s="271"/>
      <c r="B81" s="264"/>
      <c r="C81" s="264"/>
      <c r="D81" s="264"/>
      <c r="E81" s="264"/>
      <c r="F81" s="264"/>
      <c r="G81" s="264"/>
      <c r="H81" s="264"/>
      <c r="I81" s="264"/>
      <c r="J81" s="53"/>
      <c r="K81" s="53"/>
      <c r="L81" s="56"/>
      <c r="M81" s="53"/>
      <c r="N81" s="53"/>
      <c r="O81" s="53"/>
    </row>
    <row r="82" spans="1:15">
      <c r="A82" s="420" t="s">
        <v>4</v>
      </c>
      <c r="B82" s="421"/>
      <c r="C82" s="421"/>
      <c r="D82" s="421"/>
      <c r="E82" s="421"/>
      <c r="F82" s="421"/>
      <c r="G82" s="422"/>
      <c r="H82" s="264"/>
      <c r="I82" s="264"/>
      <c r="J82" s="53"/>
      <c r="K82" s="53"/>
      <c r="L82" s="56"/>
      <c r="M82" s="53"/>
      <c r="N82" s="53"/>
      <c r="O82" s="53"/>
    </row>
    <row r="83" spans="1:15">
      <c r="A83" s="423" t="s">
        <v>3</v>
      </c>
      <c r="B83" s="296"/>
      <c r="C83" s="296"/>
      <c r="D83" s="296"/>
      <c r="E83" s="296"/>
      <c r="F83" s="296"/>
      <c r="G83" s="424"/>
      <c r="H83" s="264"/>
      <c r="I83" s="264"/>
      <c r="J83" s="53"/>
      <c r="K83" s="53"/>
      <c r="L83" s="56"/>
      <c r="M83" s="53"/>
      <c r="N83" s="53"/>
      <c r="O83" s="53"/>
    </row>
    <row r="84" spans="1:15">
      <c r="A84" s="425" t="s">
        <v>2</v>
      </c>
      <c r="B84" s="426"/>
      <c r="C84" s="426"/>
      <c r="D84" s="427">
        <f>B46</f>
        <v>450</v>
      </c>
      <c r="E84" s="426" t="s">
        <v>1</v>
      </c>
      <c r="F84" s="427">
        <f>D84*0.75</f>
        <v>337.5</v>
      </c>
      <c r="G84" s="428" t="s">
        <v>0</v>
      </c>
      <c r="H84" s="264"/>
      <c r="I84" s="264"/>
      <c r="J84" s="53"/>
      <c r="K84" s="53"/>
      <c r="L84" s="56"/>
      <c r="M84" s="53"/>
      <c r="N84" s="53"/>
      <c r="O84" s="53"/>
    </row>
    <row r="85" spans="1:15">
      <c r="A85" s="271"/>
      <c r="B85" s="264"/>
      <c r="C85" s="264"/>
      <c r="D85" s="257"/>
      <c r="E85" s="264"/>
      <c r="F85" s="256"/>
      <c r="G85" s="264"/>
      <c r="H85" s="264"/>
      <c r="I85" s="264"/>
      <c r="J85" s="53"/>
      <c r="K85" s="53"/>
      <c r="L85" s="56"/>
      <c r="M85" s="53"/>
      <c r="N85" s="53"/>
      <c r="O85" s="53"/>
    </row>
    <row r="86" spans="1:15">
      <c r="A86" s="271"/>
      <c r="B86" s="264"/>
      <c r="C86" s="264"/>
      <c r="D86" s="257"/>
      <c r="E86" s="264"/>
      <c r="F86" s="256"/>
      <c r="G86" s="264"/>
      <c r="H86" s="264"/>
      <c r="I86" s="264"/>
      <c r="J86" s="53"/>
      <c r="K86" s="53"/>
      <c r="L86" s="56"/>
      <c r="M86" s="53"/>
      <c r="N86" s="53"/>
      <c r="O86" s="53"/>
    </row>
    <row r="87" spans="1:15">
      <c r="A87" s="271"/>
      <c r="B87" s="264"/>
      <c r="C87" s="264"/>
      <c r="D87" s="257"/>
      <c r="E87" s="264"/>
      <c r="F87" s="256"/>
      <c r="G87" s="264"/>
      <c r="H87" s="264"/>
      <c r="I87" s="264"/>
      <c r="J87" s="53"/>
      <c r="K87" s="53"/>
      <c r="L87" s="56"/>
      <c r="M87" s="53"/>
      <c r="N87" s="53"/>
      <c r="O87" s="53"/>
    </row>
    <row r="88" spans="1:15" ht="10.5" customHeight="1">
      <c r="A88" s="271"/>
      <c r="B88" s="264"/>
      <c r="C88" s="264"/>
      <c r="D88" s="264"/>
      <c r="E88" s="264"/>
      <c r="F88" s="264"/>
      <c r="G88" s="264"/>
      <c r="H88" s="264"/>
      <c r="I88" s="264"/>
      <c r="J88" s="53"/>
      <c r="K88" s="53"/>
      <c r="L88" s="56"/>
      <c r="M88" s="53"/>
      <c r="N88" s="53"/>
      <c r="O88" s="53"/>
    </row>
    <row r="89" spans="1:15" ht="12.75" customHeight="1">
      <c r="A89" s="271"/>
      <c r="B89" s="264"/>
      <c r="C89" s="264"/>
      <c r="D89" s="264"/>
      <c r="E89" s="264"/>
      <c r="F89" s="264"/>
      <c r="G89" s="264"/>
      <c r="H89" s="264"/>
      <c r="I89" s="264"/>
      <c r="J89" s="53"/>
      <c r="K89" s="53"/>
    </row>
    <row r="90" spans="1:15">
      <c r="A90" s="271"/>
      <c r="B90" s="264"/>
      <c r="C90" s="264"/>
      <c r="D90" s="264"/>
      <c r="E90" s="264"/>
      <c r="F90" s="264"/>
      <c r="G90" s="264"/>
      <c r="H90" s="264"/>
      <c r="I90" s="264"/>
      <c r="J90" s="53"/>
      <c r="K90" s="53"/>
    </row>
    <row r="91" spans="1:15">
      <c r="A91" s="271"/>
      <c r="B91" s="264"/>
      <c r="C91" s="264"/>
      <c r="D91" s="264"/>
      <c r="E91" s="264"/>
      <c r="F91" s="264"/>
      <c r="G91" s="264"/>
      <c r="H91" s="264"/>
      <c r="I91" s="264"/>
      <c r="J91" s="53"/>
      <c r="K91" s="53"/>
    </row>
    <row r="92" spans="1:15" s="4" customFormat="1">
      <c r="A92" s="271"/>
      <c r="B92" s="264"/>
      <c r="C92" s="264"/>
      <c r="D92" s="264"/>
      <c r="E92" s="264"/>
      <c r="F92" s="264"/>
      <c r="G92" s="264"/>
      <c r="H92" s="264"/>
      <c r="I92" s="264"/>
      <c r="J92" s="53"/>
      <c r="K92" s="53"/>
      <c r="L92" s="2"/>
    </row>
    <row r="93" spans="1:15">
      <c r="A93" s="271"/>
      <c r="B93" s="264"/>
      <c r="C93" s="264"/>
      <c r="D93" s="264"/>
      <c r="E93" s="264"/>
      <c r="F93" s="264"/>
      <c r="G93" s="264"/>
      <c r="H93" s="264"/>
      <c r="I93" s="264"/>
    </row>
    <row r="94" spans="1:15">
      <c r="A94" s="271"/>
      <c r="B94" s="264"/>
      <c r="C94" s="264"/>
      <c r="D94" s="264"/>
      <c r="E94" s="264"/>
      <c r="F94" s="264"/>
      <c r="G94" s="264"/>
      <c r="H94" s="264"/>
      <c r="I94" s="264"/>
    </row>
    <row r="95" spans="1:15">
      <c r="A95" s="271"/>
      <c r="B95" s="264"/>
      <c r="C95" s="264"/>
      <c r="D95" s="264"/>
      <c r="E95" s="264"/>
      <c r="F95" s="264"/>
      <c r="G95" s="264"/>
      <c r="H95" s="264"/>
      <c r="I95" s="264"/>
    </row>
    <row r="96" spans="1:15">
      <c r="A96" s="271"/>
      <c r="B96" s="264"/>
      <c r="C96" s="264"/>
      <c r="D96" s="264"/>
      <c r="E96" s="264"/>
      <c r="F96" s="264"/>
      <c r="G96" s="264"/>
      <c r="H96" s="264"/>
      <c r="I96" s="264"/>
    </row>
    <row r="97" spans="1:9">
      <c r="A97" s="271"/>
      <c r="B97" s="264"/>
      <c r="C97" s="264"/>
      <c r="D97" s="264"/>
      <c r="E97" s="264"/>
      <c r="F97" s="264"/>
      <c r="G97" s="264"/>
      <c r="H97" s="264"/>
      <c r="I97" s="264"/>
    </row>
    <row r="98" spans="1:9">
      <c r="A98" s="271"/>
      <c r="B98" s="264"/>
      <c r="C98" s="264"/>
      <c r="D98" s="264"/>
      <c r="E98" s="264"/>
      <c r="F98" s="264"/>
      <c r="G98" s="264"/>
      <c r="H98" s="264"/>
      <c r="I98" s="264"/>
    </row>
    <row r="99" spans="1:9">
      <c r="A99" s="271"/>
      <c r="B99" s="264"/>
      <c r="C99" s="264"/>
      <c r="D99" s="264"/>
      <c r="E99" s="264"/>
      <c r="F99" s="264"/>
      <c r="G99" s="264"/>
      <c r="H99" s="264"/>
      <c r="I99" s="264"/>
    </row>
  </sheetData>
  <sheetProtection password="C420" sheet="1" objects="1" scenarios="1"/>
  <mergeCells count="3">
    <mergeCell ref="G1:H1"/>
    <mergeCell ref="G2:I2"/>
    <mergeCell ref="A1:E2"/>
  </mergeCells>
  <dataValidations count="1">
    <dataValidation type="list" showInputMessage="1" showErrorMessage="1" sqref="E52">
      <formula1>vlpipe</formula1>
    </dataValidation>
  </dataValidations>
  <pageMargins left="0.75" right="0.25" top="0.5" bottom="0.5" header="0" footer="0.5"/>
  <pageSetup scale="95" orientation="portrait" r:id="rId1"/>
  <headerFooter alignWithMargins="0">
    <oddFooter>&amp;RPage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00"/>
  <sheetViews>
    <sheetView showGridLines="0" zoomScale="120" zoomScaleNormal="120" workbookViewId="0">
      <selection activeCell="I66" sqref="I66"/>
    </sheetView>
  </sheetViews>
  <sheetFormatPr defaultRowHeight="15"/>
  <cols>
    <col min="2" max="2" width="19.85546875" customWidth="1"/>
    <col min="3" max="3" width="10.85546875" customWidth="1"/>
    <col min="4" max="4" width="12.5703125" customWidth="1"/>
    <col min="5" max="5" width="8.7109375" customWidth="1"/>
    <col min="6" max="6" width="16.7109375" customWidth="1"/>
    <col min="7" max="7" width="15.42578125" customWidth="1"/>
    <col min="8" max="8" width="10.28515625" customWidth="1"/>
    <col min="9" max="9" width="9.42578125" customWidth="1"/>
  </cols>
  <sheetData>
    <row r="1" spans="1:9" ht="18.75" customHeight="1">
      <c r="A1" s="861" t="s">
        <v>810</v>
      </c>
      <c r="B1" s="862"/>
      <c r="C1" s="862"/>
      <c r="D1" s="862"/>
      <c r="E1" s="862"/>
      <c r="F1" s="611" t="s">
        <v>809</v>
      </c>
      <c r="G1" s="867">
        <f>Dosing!G1</f>
        <v>2345</v>
      </c>
      <c r="H1" s="867"/>
      <c r="I1" s="868"/>
    </row>
    <row r="2" spans="1:9" s="44" customFormat="1" ht="15" customHeight="1">
      <c r="A2" s="863"/>
      <c r="B2" s="864"/>
      <c r="C2" s="864"/>
      <c r="D2" s="864"/>
      <c r="E2" s="864"/>
      <c r="F2" s="612" t="s">
        <v>803</v>
      </c>
      <c r="G2" s="865" t="str">
        <f>IF(ISBLANK('Site Evaluation'!B6),"",'Site Evaluation'!B6)</f>
        <v/>
      </c>
      <c r="H2" s="865"/>
      <c r="I2" s="866"/>
    </row>
    <row r="3" spans="1:9" ht="15.75">
      <c r="A3" s="527"/>
      <c r="B3" s="527"/>
      <c r="C3" s="527"/>
      <c r="D3" s="527"/>
      <c r="E3" s="527"/>
      <c r="F3" s="527"/>
      <c r="G3" s="527"/>
      <c r="H3" s="527"/>
      <c r="I3" s="527"/>
    </row>
    <row r="4" spans="1:9" ht="15.75">
      <c r="A4" s="851" t="s">
        <v>674</v>
      </c>
      <c r="B4" s="852"/>
      <c r="C4" s="852"/>
      <c r="D4" s="852"/>
      <c r="E4" s="852"/>
      <c r="F4" s="852"/>
      <c r="G4" s="852"/>
      <c r="H4" s="852"/>
      <c r="I4" s="853"/>
    </row>
    <row r="5" spans="1:9" ht="10.5" customHeight="1">
      <c r="A5" s="527"/>
      <c r="B5" s="527"/>
      <c r="C5" s="527"/>
      <c r="D5" s="527"/>
      <c r="E5" s="527"/>
      <c r="F5" s="527"/>
      <c r="G5" s="527"/>
      <c r="H5" s="527"/>
      <c r="I5" s="527"/>
    </row>
    <row r="6" spans="1:9" ht="18.75">
      <c r="A6" s="849" t="s">
        <v>693</v>
      </c>
      <c r="B6" s="849"/>
      <c r="C6" s="564">
        <f>IF(OR(DropDownList!V19=2,DropDownList!V19=1),IF(DropDownList!V19=1,'Mound &lt;1%'!F33,'Mound&gt;1%'!F34),"N/A")</f>
        <v>380</v>
      </c>
      <c r="D6" s="527" t="s">
        <v>791</v>
      </c>
      <c r="E6" s="527"/>
      <c r="F6" s="849" t="s">
        <v>695</v>
      </c>
      <c r="G6" s="850"/>
      <c r="H6" s="564">
        <f>IF(OR(DropDownList!V19=2,DropDownList!V19=1),IF(DropDownList!V19=1,'Mound &lt;1%'!G38,'Mound&gt;1%'!G38),"N/A")</f>
        <v>10</v>
      </c>
      <c r="I6" s="527" t="s">
        <v>26</v>
      </c>
    </row>
    <row r="7" spans="1:9" ht="3" customHeight="1">
      <c r="A7" s="565"/>
      <c r="B7" s="565"/>
      <c r="C7" s="527"/>
      <c r="D7" s="527"/>
      <c r="E7" s="527"/>
      <c r="F7" s="565"/>
      <c r="G7" s="565"/>
      <c r="H7" s="527"/>
      <c r="I7" s="527"/>
    </row>
    <row r="8" spans="1:9" ht="15.75">
      <c r="A8" s="849" t="s">
        <v>694</v>
      </c>
      <c r="B8" s="849"/>
      <c r="C8" s="564">
        <f>IF(OR(DropDownList!V19=2,DropDownList!V19=1),IF(DropDownList!V19=1,'Mound &lt;1%'!G43,'Mound&gt;1%'!G42),"N/A")</f>
        <v>38</v>
      </c>
      <c r="D8" s="527" t="s">
        <v>26</v>
      </c>
      <c r="E8" s="527"/>
      <c r="F8" s="849"/>
      <c r="G8" s="849"/>
      <c r="H8" s="527"/>
      <c r="I8" s="527"/>
    </row>
    <row r="9" spans="1:9" s="44" customFormat="1" ht="21" customHeight="1">
      <c r="A9" s="565"/>
      <c r="B9" s="565"/>
      <c r="C9" s="527"/>
      <c r="D9" s="527"/>
      <c r="E9" s="527"/>
      <c r="F9" s="565"/>
      <c r="G9" s="565"/>
      <c r="H9" s="527"/>
      <c r="I9" s="527"/>
    </row>
    <row r="10" spans="1:9" s="44" customFormat="1" ht="16.5" customHeight="1">
      <c r="A10" s="857" t="s">
        <v>697</v>
      </c>
      <c r="B10" s="858"/>
      <c r="C10" s="858"/>
      <c r="D10" s="858"/>
      <c r="E10" s="858"/>
      <c r="F10" s="858"/>
      <c r="G10" s="858"/>
      <c r="H10" s="858"/>
      <c r="I10" s="859"/>
    </row>
    <row r="11" spans="1:9" ht="5.25" customHeight="1">
      <c r="A11" s="565"/>
      <c r="B11" s="565"/>
      <c r="C11" s="527"/>
      <c r="D11" s="527"/>
      <c r="E11" s="527"/>
      <c r="F11" s="565"/>
      <c r="G11" s="565"/>
      <c r="H11" s="527"/>
      <c r="I11" s="527"/>
    </row>
    <row r="12" spans="1:9" ht="15.75">
      <c r="A12" s="849" t="s">
        <v>698</v>
      </c>
      <c r="B12" s="850"/>
      <c r="C12" s="564">
        <f>IF(DropDownList!V19=1,'Mound &lt;1%'!F64,"N/A")</f>
        <v>1</v>
      </c>
      <c r="D12" s="527" t="s">
        <v>26</v>
      </c>
      <c r="E12" s="527"/>
      <c r="F12" s="849" t="s">
        <v>701</v>
      </c>
      <c r="G12" s="850"/>
      <c r="H12" s="564">
        <f>IF(DropDownList!V19=1,'Mound &lt;1%'!G84,"N/A")</f>
        <v>-7</v>
      </c>
      <c r="I12" s="527" t="s">
        <v>26</v>
      </c>
    </row>
    <row r="13" spans="1:9" ht="3" customHeight="1">
      <c r="A13" s="565"/>
      <c r="B13" s="565"/>
      <c r="C13" s="566"/>
      <c r="D13" s="527"/>
      <c r="E13" s="527"/>
      <c r="F13" s="565"/>
      <c r="G13" s="565"/>
      <c r="H13" s="566"/>
      <c r="I13" s="527"/>
    </row>
    <row r="14" spans="1:9" ht="15.75">
      <c r="A14" s="849" t="s">
        <v>714</v>
      </c>
      <c r="B14" s="850"/>
      <c r="C14" s="564">
        <f>IF(DropDownList!V19=1,'Mound &lt;1%'!E69,"N/A")</f>
        <v>3</v>
      </c>
      <c r="D14" s="527" t="s">
        <v>26</v>
      </c>
      <c r="E14" s="527"/>
      <c r="F14" s="849" t="s">
        <v>702</v>
      </c>
      <c r="G14" s="849"/>
      <c r="H14" s="564">
        <f>IF(DropDownList!V19=1,'Mound &lt;1%'!G89,"N/A")</f>
        <v>5</v>
      </c>
      <c r="I14" s="527" t="s">
        <v>26</v>
      </c>
    </row>
    <row r="15" spans="1:9" ht="3" customHeight="1">
      <c r="A15" s="527"/>
      <c r="B15" s="527"/>
      <c r="C15" s="566"/>
      <c r="D15" s="527"/>
      <c r="E15" s="527"/>
      <c r="F15" s="527"/>
      <c r="G15" s="527"/>
      <c r="H15" s="566"/>
      <c r="I15" s="527"/>
    </row>
    <row r="16" spans="1:9" ht="15.75">
      <c r="A16" s="849" t="s">
        <v>699</v>
      </c>
      <c r="B16" s="850"/>
      <c r="C16" s="564">
        <f>IF(DropDownList!V19=1,'Mound &lt;1%'!E74,"N/A")</f>
        <v>12</v>
      </c>
      <c r="D16" s="527" t="s">
        <v>26</v>
      </c>
      <c r="E16" s="527"/>
      <c r="F16" s="849" t="s">
        <v>703</v>
      </c>
      <c r="G16" s="850"/>
      <c r="H16" s="564">
        <f>IF(DropDownList!V19=1,'Mound &lt;1%'!I94,"N/A")</f>
        <v>34</v>
      </c>
      <c r="I16" s="527" t="s">
        <v>26</v>
      </c>
    </row>
    <row r="17" spans="1:9" s="44" customFormat="1" ht="3" customHeight="1">
      <c r="A17" s="527"/>
      <c r="B17" s="527"/>
      <c r="C17" s="527"/>
      <c r="D17" s="527"/>
      <c r="E17" s="565"/>
      <c r="F17" s="565"/>
      <c r="G17" s="565"/>
      <c r="H17" s="566"/>
      <c r="I17" s="527"/>
    </row>
    <row r="18" spans="1:9" s="44" customFormat="1" ht="15.75">
      <c r="A18" s="849" t="s">
        <v>700</v>
      </c>
      <c r="B18" s="849"/>
      <c r="C18" s="564">
        <f>IF(DropDownList!V19=1,'Mound &lt;1%'!I79,"N/A")</f>
        <v>34</v>
      </c>
      <c r="D18" s="527" t="s">
        <v>26</v>
      </c>
      <c r="E18" s="565"/>
      <c r="F18" s="849" t="s">
        <v>704</v>
      </c>
      <c r="G18" s="850"/>
      <c r="H18" s="564">
        <f>IF(DropDownList!V19=1,'Mound &lt;1%'!I99,"N/A")</f>
        <v>62</v>
      </c>
      <c r="I18" s="527" t="s">
        <v>26</v>
      </c>
    </row>
    <row r="19" spans="1:9" s="44" customFormat="1" ht="3" customHeight="1">
      <c r="A19" s="565"/>
      <c r="B19" s="565"/>
      <c r="C19" s="566"/>
      <c r="D19" s="565"/>
      <c r="E19" s="527"/>
      <c r="F19" s="527"/>
      <c r="G19" s="527"/>
      <c r="H19" s="566"/>
      <c r="I19" s="527"/>
    </row>
    <row r="20" spans="1:9" s="44" customFormat="1" ht="15.75">
      <c r="A20" s="849" t="s">
        <v>705</v>
      </c>
      <c r="B20" s="850"/>
      <c r="C20" s="564">
        <f>IF(DropDownList!V19=1,'Mound &lt;1%'!I104,"N/A")</f>
        <v>8.5</v>
      </c>
      <c r="D20" s="567" t="s">
        <v>26</v>
      </c>
      <c r="E20" s="565"/>
      <c r="F20" s="565"/>
      <c r="G20" s="568" t="s">
        <v>696</v>
      </c>
      <c r="H20" s="564">
        <f>IF(DropDownList!V19=1,'Mound &lt;1%'!F52,"N/A")</f>
        <v>27</v>
      </c>
      <c r="I20" s="527" t="s">
        <v>26</v>
      </c>
    </row>
    <row r="21" spans="1:9" s="44" customFormat="1" ht="21" customHeight="1">
      <c r="A21" s="566"/>
      <c r="B21" s="566"/>
      <c r="C21" s="527"/>
      <c r="D21" s="565"/>
      <c r="E21" s="565"/>
      <c r="F21" s="565"/>
      <c r="G21" s="568"/>
      <c r="H21" s="527"/>
      <c r="I21" s="527"/>
    </row>
    <row r="22" spans="1:9" s="44" customFormat="1" ht="15.75" customHeight="1">
      <c r="A22" s="857" t="s">
        <v>706</v>
      </c>
      <c r="B22" s="858"/>
      <c r="C22" s="858"/>
      <c r="D22" s="858"/>
      <c r="E22" s="858"/>
      <c r="F22" s="858"/>
      <c r="G22" s="858"/>
      <c r="H22" s="858"/>
      <c r="I22" s="859"/>
    </row>
    <row r="23" spans="1:9" s="44" customFormat="1" ht="6" customHeight="1">
      <c r="A23" s="565"/>
      <c r="B23" s="565"/>
      <c r="C23" s="527"/>
      <c r="D23" s="527"/>
      <c r="E23" s="527"/>
      <c r="F23" s="565"/>
      <c r="G23" s="565"/>
      <c r="H23" s="527"/>
      <c r="I23" s="527"/>
    </row>
    <row r="24" spans="1:9" s="44" customFormat="1" ht="15.75">
      <c r="A24" s="849" t="s">
        <v>707</v>
      </c>
      <c r="B24" s="850"/>
      <c r="C24" s="564" t="str">
        <f>IF(DropDownList!V19=2,'Mound&gt;1%'!F66,"N/A")</f>
        <v>N/A</v>
      </c>
      <c r="D24" s="527" t="s">
        <v>26</v>
      </c>
      <c r="E24" s="527"/>
      <c r="F24" s="849" t="s">
        <v>711</v>
      </c>
      <c r="G24" s="850"/>
      <c r="H24" s="564" t="str">
        <f>IF(DropDownList!V19=2,'Mound&gt;1%'!G94,"N/A")</f>
        <v>N/A</v>
      </c>
      <c r="I24" s="527" t="s">
        <v>26</v>
      </c>
    </row>
    <row r="25" spans="1:9" s="44" customFormat="1" ht="4.5" customHeight="1">
      <c r="A25" s="565"/>
      <c r="B25" s="565"/>
      <c r="C25" s="565"/>
      <c r="D25" s="527"/>
      <c r="E25" s="527"/>
      <c r="F25" s="565"/>
      <c r="G25" s="565"/>
      <c r="H25" s="565"/>
      <c r="I25" s="527"/>
    </row>
    <row r="26" spans="1:9" s="44" customFormat="1" ht="15.75">
      <c r="A26" s="849" t="s">
        <v>708</v>
      </c>
      <c r="B26" s="850"/>
      <c r="C26" s="564" t="str">
        <f>IF(DropDownList!V19=2,'Mound&gt;1%'!E71,"N/A")</f>
        <v>N/A</v>
      </c>
      <c r="D26" s="527" t="s">
        <v>26</v>
      </c>
      <c r="E26" s="527"/>
      <c r="F26" s="849" t="s">
        <v>712</v>
      </c>
      <c r="G26" s="849"/>
      <c r="H26" s="564" t="str">
        <f>IF(DropDownList!V19=2,'Mound&gt;1%'!E98,"N/A")</f>
        <v>N/A</v>
      </c>
      <c r="I26" s="527" t="s">
        <v>26</v>
      </c>
    </row>
    <row r="27" spans="1:9" s="44" customFormat="1" ht="3" customHeight="1">
      <c r="A27" s="527"/>
      <c r="B27" s="527"/>
      <c r="C27" s="565"/>
      <c r="D27" s="527"/>
      <c r="E27" s="527"/>
      <c r="F27" s="527"/>
      <c r="G27" s="527"/>
      <c r="H27" s="565"/>
      <c r="I27" s="527"/>
    </row>
    <row r="28" spans="1:9" s="44" customFormat="1" ht="15.75">
      <c r="A28" s="849" t="s">
        <v>709</v>
      </c>
      <c r="B28" s="849"/>
      <c r="C28" s="564" t="str">
        <f>IF(DropDownList!V19=2,'Mound&gt;1%'!G80,"N/A")</f>
        <v>N/A</v>
      </c>
      <c r="D28" s="527" t="s">
        <v>26</v>
      </c>
      <c r="E28" s="527"/>
      <c r="F28" s="849" t="s">
        <v>713</v>
      </c>
      <c r="G28" s="850"/>
      <c r="H28" s="564" t="str">
        <f>IF(DropDownList!V19=2,'Mound&gt;1%'!G104,"N/A")</f>
        <v>N/A</v>
      </c>
      <c r="I28" s="527" t="s">
        <v>26</v>
      </c>
    </row>
    <row r="29" spans="1:9" s="44" customFormat="1" ht="3.75" customHeight="1">
      <c r="A29" s="565"/>
      <c r="B29" s="565"/>
      <c r="C29" s="565"/>
      <c r="D29" s="565"/>
      <c r="E29" s="565"/>
      <c r="F29" s="565"/>
      <c r="G29" s="565"/>
      <c r="H29" s="565"/>
      <c r="I29" s="527"/>
    </row>
    <row r="30" spans="1:9" s="44" customFormat="1" ht="15.75">
      <c r="A30" s="849" t="s">
        <v>710</v>
      </c>
      <c r="B30" s="850"/>
      <c r="C30" s="564" t="str">
        <f>IF(DropDownList!V19=2,'Mound&gt;1%'!G88,"N/A")</f>
        <v>N/A</v>
      </c>
      <c r="D30" s="567" t="s">
        <v>26</v>
      </c>
      <c r="E30" s="565"/>
      <c r="F30" s="849" t="s">
        <v>703</v>
      </c>
      <c r="G30" s="850"/>
      <c r="H30" s="564" t="str">
        <f>IF(DropDownList!V19=2,'Mound&gt;1%'!I109,"N/A")</f>
        <v>N/A</v>
      </c>
      <c r="I30" s="527" t="s">
        <v>26</v>
      </c>
    </row>
    <row r="31" spans="1:9" s="44" customFormat="1" ht="4.5" customHeight="1">
      <c r="A31" s="565"/>
      <c r="B31" s="568"/>
      <c r="C31" s="568"/>
      <c r="D31" s="568"/>
      <c r="E31" s="568"/>
      <c r="F31" s="568"/>
      <c r="G31" s="568"/>
      <c r="H31" s="568"/>
      <c r="I31" s="568"/>
    </row>
    <row r="32" spans="1:9" s="44" customFormat="1" ht="15.75">
      <c r="A32" s="849" t="s">
        <v>696</v>
      </c>
      <c r="B32" s="849"/>
      <c r="C32" s="564" t="str">
        <f>IF(DropDownList!V19=2,'Mound&gt;1%'!F58,"N/A")</f>
        <v>N/A</v>
      </c>
      <c r="D32" s="569" t="s">
        <v>26</v>
      </c>
      <c r="E32" s="568"/>
      <c r="F32" s="860" t="s">
        <v>704</v>
      </c>
      <c r="G32" s="860"/>
      <c r="H32" s="564" t="str">
        <f>IF(DropDownList!V19=2,'Mound&gt;1%'!I114,"N/A")</f>
        <v>N/A</v>
      </c>
      <c r="I32" s="569" t="s">
        <v>26</v>
      </c>
    </row>
    <row r="33" spans="1:9" ht="21" customHeight="1">
      <c r="A33" s="527"/>
      <c r="B33" s="527"/>
      <c r="C33" s="527"/>
      <c r="D33" s="527"/>
      <c r="E33" s="527"/>
      <c r="F33" s="527"/>
      <c r="G33" s="527"/>
      <c r="H33" s="527"/>
      <c r="I33" s="527"/>
    </row>
    <row r="34" spans="1:9" ht="15.75">
      <c r="A34" s="851" t="s">
        <v>825</v>
      </c>
      <c r="B34" s="852"/>
      <c r="C34" s="852"/>
      <c r="D34" s="852"/>
      <c r="E34" s="852"/>
      <c r="F34" s="852"/>
      <c r="G34" s="852"/>
      <c r="H34" s="852"/>
      <c r="I34" s="853"/>
    </row>
    <row r="35" spans="1:9" ht="15.75">
      <c r="A35" s="527"/>
      <c r="B35" s="527"/>
      <c r="C35" s="527"/>
      <c r="D35" s="527"/>
      <c r="E35" s="527"/>
      <c r="F35" s="527"/>
      <c r="G35" s="527"/>
      <c r="H35" s="527"/>
      <c r="I35" s="527"/>
    </row>
    <row r="36" spans="1:9" ht="18.75">
      <c r="A36" s="849" t="s">
        <v>687</v>
      </c>
      <c r="B36" s="849"/>
      <c r="C36" s="564" t="str">
        <f>IF(DropDownList!V19=3,'Trench or Bed'!I46,"N/A")</f>
        <v>N/A</v>
      </c>
      <c r="D36" s="527" t="s">
        <v>791</v>
      </c>
      <c r="E36" s="849" t="s">
        <v>692</v>
      </c>
      <c r="F36" s="849"/>
      <c r="G36" s="850"/>
      <c r="H36" s="564" t="str">
        <f>IF(DropDownList!V19=3,'Trench or Bed'!I66,"N/A")</f>
        <v>N/A</v>
      </c>
      <c r="I36" s="527" t="s">
        <v>791</v>
      </c>
    </row>
    <row r="37" spans="1:9" ht="4.5" customHeight="1">
      <c r="A37" s="565"/>
      <c r="B37" s="565"/>
      <c r="C37" s="527"/>
      <c r="D37" s="527"/>
      <c r="E37" s="527"/>
      <c r="F37" s="527"/>
      <c r="G37" s="527"/>
      <c r="H37" s="527"/>
      <c r="I37" s="527"/>
    </row>
    <row r="38" spans="1:9" ht="17.25" customHeight="1">
      <c r="A38" s="849" t="s">
        <v>688</v>
      </c>
      <c r="B38" s="849"/>
      <c r="C38" s="564" t="str">
        <f>IF((DropDownList!V19=3),'Trench or Bed'!I50,"N/A")</f>
        <v>N/A</v>
      </c>
      <c r="D38" s="527" t="s">
        <v>791</v>
      </c>
      <c r="E38" s="527"/>
      <c r="F38" s="849"/>
      <c r="G38" s="849"/>
      <c r="H38" s="602"/>
      <c r="I38" s="602"/>
    </row>
    <row r="39" spans="1:9" ht="4.5" customHeight="1">
      <c r="A39" s="565"/>
      <c r="B39" s="565"/>
      <c r="C39" s="527"/>
      <c r="D39" s="527"/>
      <c r="E39" s="527"/>
      <c r="F39" s="565"/>
      <c r="G39" s="565"/>
      <c r="H39" s="602"/>
      <c r="I39" s="602"/>
    </row>
    <row r="40" spans="1:9" ht="18.75">
      <c r="A40" s="849" t="s">
        <v>689</v>
      </c>
      <c r="B40" s="849"/>
      <c r="C40" s="564" t="str">
        <f>IF(DropDownList!V19=3,'Trench or Bed'!I54,"N/A")</f>
        <v>N/A</v>
      </c>
      <c r="D40" s="527" t="s">
        <v>791</v>
      </c>
      <c r="E40" s="527"/>
      <c r="F40" s="849"/>
      <c r="G40" s="849"/>
      <c r="H40" s="602"/>
      <c r="I40" s="602"/>
    </row>
    <row r="41" spans="1:9" ht="3.75" customHeight="1">
      <c r="A41" s="565" t="s">
        <v>689</v>
      </c>
      <c r="B41" s="565"/>
      <c r="C41" s="527"/>
      <c r="D41" s="527"/>
      <c r="E41" s="527"/>
      <c r="F41" s="565"/>
      <c r="G41" s="565"/>
      <c r="H41" s="602"/>
      <c r="I41" s="602"/>
    </row>
    <row r="42" spans="1:9" ht="18.75">
      <c r="A42" s="849" t="s">
        <v>690</v>
      </c>
      <c r="B42" s="849"/>
      <c r="C42" s="564" t="str">
        <f>IF(DropDownList!V19=3,'Trench or Bed'!I58,"N/A")</f>
        <v>N/A</v>
      </c>
      <c r="D42" s="527" t="s">
        <v>791</v>
      </c>
      <c r="E42" s="527"/>
      <c r="F42" s="849"/>
      <c r="G42" s="849"/>
      <c r="H42" s="602"/>
      <c r="I42" s="602"/>
    </row>
    <row r="43" spans="1:9" ht="3.75" customHeight="1">
      <c r="A43" s="527"/>
      <c r="B43" s="527"/>
      <c r="C43" s="527"/>
      <c r="D43" s="527"/>
      <c r="E43" s="527"/>
      <c r="F43" s="527"/>
      <c r="G43" s="527"/>
      <c r="H43" s="602"/>
      <c r="I43" s="602"/>
    </row>
    <row r="44" spans="1:9" ht="18.75">
      <c r="A44" s="849" t="s">
        <v>691</v>
      </c>
      <c r="B44" s="850"/>
      <c r="C44" s="564" t="str">
        <f>IF(DropDownList!V19=3,'Trench or Bed'!J62,"N/A")</f>
        <v>N/A</v>
      </c>
      <c r="D44" s="527" t="s">
        <v>791</v>
      </c>
      <c r="E44" s="527"/>
      <c r="F44" s="527"/>
      <c r="G44" s="527"/>
      <c r="H44" s="527"/>
      <c r="I44" s="527"/>
    </row>
    <row r="45" spans="1:9" s="44" customFormat="1" ht="21" customHeight="1">
      <c r="A45" s="565"/>
      <c r="B45" s="568"/>
      <c r="C45" s="527"/>
      <c r="D45" s="527"/>
      <c r="E45" s="527"/>
      <c r="F45" s="527"/>
      <c r="G45" s="527"/>
      <c r="H45" s="527"/>
      <c r="I45" s="527"/>
    </row>
    <row r="46" spans="1:9" s="44" customFormat="1" ht="15.75">
      <c r="A46" s="851" t="s">
        <v>781</v>
      </c>
      <c r="B46" s="852"/>
      <c r="C46" s="852"/>
      <c r="D46" s="852"/>
      <c r="E46" s="852"/>
      <c r="F46" s="852"/>
      <c r="G46" s="852"/>
      <c r="H46" s="852"/>
      <c r="I46" s="853"/>
    </row>
    <row r="47" spans="1:9" s="44" customFormat="1" ht="15.75">
      <c r="A47" s="565"/>
      <c r="B47" s="568"/>
      <c r="C47" s="527"/>
      <c r="D47" s="527"/>
      <c r="E47" s="527"/>
      <c r="F47" s="527"/>
      <c r="G47" s="527"/>
      <c r="H47" s="527"/>
      <c r="I47" s="527"/>
    </row>
    <row r="48" spans="1:9" s="44" customFormat="1" ht="17.25" customHeight="1">
      <c r="A48" s="849" t="s">
        <v>729</v>
      </c>
      <c r="B48" s="850"/>
      <c r="C48" s="564" t="str">
        <f>IF(DropDownList!V19=4,AtGrade!F27,"N/A")</f>
        <v>N/A</v>
      </c>
      <c r="D48" s="527" t="s">
        <v>26</v>
      </c>
      <c r="E48" s="527"/>
      <c r="F48" s="849" t="s">
        <v>797</v>
      </c>
      <c r="G48" s="850"/>
      <c r="H48" s="564" t="str">
        <f>IF(DropDownList!V19=4,AtGrade!D31,"N/A")</f>
        <v>N/A</v>
      </c>
      <c r="I48" s="527" t="s">
        <v>26</v>
      </c>
    </row>
    <row r="49" spans="1:9" s="44" customFormat="1" ht="6" customHeight="1">
      <c r="A49" s="565"/>
      <c r="B49" s="568"/>
      <c r="C49" s="565"/>
      <c r="D49" s="527"/>
      <c r="E49" s="527"/>
      <c r="F49" s="527"/>
      <c r="G49" s="527"/>
      <c r="H49" s="565"/>
      <c r="I49" s="527"/>
    </row>
    <row r="50" spans="1:9" s="44" customFormat="1" ht="17.25" customHeight="1">
      <c r="A50" s="849" t="s">
        <v>792</v>
      </c>
      <c r="B50" s="850"/>
      <c r="C50" s="564" t="str">
        <f>IF(DropDownList!V19=4,AtGrade!F81,"N/A")</f>
        <v>N/A</v>
      </c>
      <c r="D50" s="527" t="s">
        <v>26</v>
      </c>
      <c r="E50" s="527"/>
      <c r="F50" s="849" t="s">
        <v>798</v>
      </c>
      <c r="G50" s="850"/>
      <c r="H50" s="564" t="str">
        <f>IF(DropDownList!V19=4,AtGrade!C48,"N/A")</f>
        <v>N/A</v>
      </c>
      <c r="I50" s="527" t="s">
        <v>26</v>
      </c>
    </row>
    <row r="51" spans="1:9" s="44" customFormat="1" ht="6" customHeight="1">
      <c r="A51" s="565"/>
      <c r="B51" s="568"/>
      <c r="C51" s="527"/>
      <c r="D51" s="527"/>
      <c r="E51" s="527"/>
      <c r="F51" s="527"/>
      <c r="G51" s="527"/>
      <c r="H51" s="565"/>
      <c r="I51" s="527"/>
    </row>
    <row r="52" spans="1:9" s="44" customFormat="1" ht="17.25" customHeight="1">
      <c r="A52" s="849" t="s">
        <v>793</v>
      </c>
      <c r="B52" s="850"/>
      <c r="C52" s="564" t="str">
        <f>IF(DropDownList!V19=4,AtGrade!D96,"N/A")</f>
        <v>N/A</v>
      </c>
      <c r="D52" s="527" t="s">
        <v>791</v>
      </c>
      <c r="E52" s="527"/>
      <c r="F52" s="849" t="s">
        <v>799</v>
      </c>
      <c r="G52" s="850"/>
      <c r="H52" s="564" t="str">
        <f>IF(DropDownList!V19=4,AtGrade!C73,"N/A")</f>
        <v>N/A</v>
      </c>
      <c r="I52" s="527" t="s">
        <v>26</v>
      </c>
    </row>
    <row r="53" spans="1:9" s="44" customFormat="1" ht="6" customHeight="1">
      <c r="A53" s="565"/>
      <c r="B53" s="568"/>
      <c r="C53" s="527"/>
      <c r="D53" s="527"/>
      <c r="E53" s="527"/>
      <c r="F53" s="527"/>
      <c r="G53" s="527"/>
      <c r="H53" s="565"/>
      <c r="I53" s="527"/>
    </row>
    <row r="54" spans="1:9" s="44" customFormat="1" ht="17.25" customHeight="1">
      <c r="A54" s="849" t="s">
        <v>794</v>
      </c>
      <c r="B54" s="850"/>
      <c r="C54" s="564" t="str">
        <f>IF(DropDownList!V19=4,AtGrade!F100,"N/A")</f>
        <v>N/A</v>
      </c>
      <c r="D54" s="527" t="s">
        <v>795</v>
      </c>
      <c r="E54" s="527"/>
      <c r="F54" s="849" t="s">
        <v>800</v>
      </c>
      <c r="G54" s="850"/>
      <c r="H54" s="564" t="str">
        <f>IF(DropDownList!V19=4,AtGrade!H85,"N/A")</f>
        <v>N/A</v>
      </c>
      <c r="I54" s="527" t="s">
        <v>26</v>
      </c>
    </row>
    <row r="55" spans="1:9" s="44" customFormat="1" ht="6" customHeight="1">
      <c r="A55" s="565"/>
      <c r="B55" s="568"/>
      <c r="C55" s="565"/>
      <c r="D55" s="527"/>
      <c r="E55" s="527"/>
      <c r="F55" s="527"/>
      <c r="G55" s="527"/>
      <c r="H55" s="527"/>
      <c r="I55" s="527"/>
    </row>
    <row r="56" spans="1:9" s="44" customFormat="1" ht="17.25" customHeight="1">
      <c r="A56" s="849" t="s">
        <v>796</v>
      </c>
      <c r="B56" s="850"/>
      <c r="C56" s="564" t="str">
        <f>IF(DropDownList!V19=4,AtGrade!H105,"N/A")</f>
        <v>N/A</v>
      </c>
      <c r="D56" s="527" t="s">
        <v>60</v>
      </c>
      <c r="E56" s="527"/>
      <c r="F56" s="527"/>
      <c r="G56" s="527"/>
      <c r="H56" s="527"/>
      <c r="I56" s="527"/>
    </row>
    <row r="57" spans="1:9" ht="21" customHeight="1">
      <c r="A57" s="527"/>
      <c r="B57" s="527"/>
      <c r="C57" s="527"/>
      <c r="D57" s="527"/>
      <c r="E57" s="527"/>
      <c r="F57" s="527"/>
      <c r="G57" s="527"/>
      <c r="H57" s="527"/>
      <c r="I57" s="527"/>
    </row>
    <row r="58" spans="1:9" ht="15.75">
      <c r="A58" s="851" t="s">
        <v>675</v>
      </c>
      <c r="B58" s="852"/>
      <c r="C58" s="852"/>
      <c r="D58" s="852"/>
      <c r="E58" s="852"/>
      <c r="F58" s="852"/>
      <c r="G58" s="852"/>
      <c r="H58" s="852"/>
      <c r="I58" s="853"/>
    </row>
    <row r="59" spans="1:9" ht="15.75">
      <c r="A59" s="527"/>
      <c r="B59" s="527"/>
      <c r="C59" s="527"/>
      <c r="D59" s="527"/>
      <c r="E59" s="527"/>
      <c r="F59" s="527"/>
      <c r="G59" s="527"/>
      <c r="H59" s="527"/>
      <c r="I59" s="527"/>
    </row>
    <row r="60" spans="1:9" ht="18.75">
      <c r="A60" s="849" t="s">
        <v>717</v>
      </c>
      <c r="B60" s="849"/>
      <c r="C60" s="564">
        <f>IF(ISBLANK('PresDist '!F5),"",'PresDist '!F5)</f>
        <v>4</v>
      </c>
      <c r="D60" s="527"/>
      <c r="E60" s="527"/>
      <c r="F60" s="849" t="s">
        <v>719</v>
      </c>
      <c r="G60" s="850"/>
      <c r="H60" s="571">
        <f>IF(ISERROR('PresDist '!F53),"",'PresDist '!F53)</f>
        <v>7.3076923076923075</v>
      </c>
      <c r="I60" s="527" t="s">
        <v>791</v>
      </c>
    </row>
    <row r="61" spans="1:9" ht="3.75" customHeight="1">
      <c r="A61" s="565"/>
      <c r="B61" s="565"/>
      <c r="C61" s="615"/>
      <c r="D61" s="527"/>
      <c r="E61" s="527"/>
      <c r="F61" s="565"/>
      <c r="G61" s="565"/>
      <c r="H61" s="527"/>
      <c r="I61" s="527"/>
    </row>
    <row r="62" spans="1:9" ht="15.75">
      <c r="A62" s="849" t="s">
        <v>676</v>
      </c>
      <c r="B62" s="849"/>
      <c r="C62" s="617">
        <f>IF(ISERROR('PresDist '!I24),"",'PresDist '!I24)</f>
        <v>12</v>
      </c>
      <c r="D62" s="527" t="s">
        <v>26</v>
      </c>
      <c r="E62" s="527"/>
      <c r="F62" s="849" t="s">
        <v>720</v>
      </c>
      <c r="G62" s="850"/>
      <c r="H62" s="572">
        <f>IF(ISERROR('PresDist '!H60),"",'PresDist '!H60)</f>
        <v>38.479999999999997</v>
      </c>
      <c r="I62" s="527" t="s">
        <v>183</v>
      </c>
    </row>
    <row r="63" spans="1:9" ht="3" customHeight="1">
      <c r="A63" s="565"/>
      <c r="B63" s="565"/>
      <c r="C63" s="615"/>
      <c r="D63" s="527"/>
      <c r="E63" s="527"/>
      <c r="F63" s="565"/>
      <c r="G63" s="565"/>
      <c r="H63" s="527"/>
      <c r="I63" s="527"/>
    </row>
    <row r="64" spans="1:9" ht="15.75">
      <c r="A64" s="849" t="s">
        <v>715</v>
      </c>
      <c r="B64" s="849"/>
      <c r="C64" s="573">
        <f>IF(ISERROR('PresDist '!E28),"",'PresDist '!E28)</f>
        <v>0.25</v>
      </c>
      <c r="D64" s="527" t="s">
        <v>5</v>
      </c>
      <c r="E64" s="527"/>
      <c r="F64" s="849" t="s">
        <v>721</v>
      </c>
      <c r="G64" s="849"/>
      <c r="H64" s="574">
        <f>MAX('PresDist '!E69,'PresDist '!F75)</f>
        <v>2</v>
      </c>
      <c r="I64" s="527" t="s">
        <v>5</v>
      </c>
    </row>
    <row r="65" spans="1:10" ht="4.5" customHeight="1">
      <c r="A65" s="565"/>
      <c r="B65" s="565"/>
      <c r="C65" s="615"/>
      <c r="D65" s="527"/>
      <c r="E65" s="527"/>
      <c r="F65" s="565"/>
      <c r="G65" s="565"/>
      <c r="H65" s="527"/>
      <c r="I65" s="527"/>
    </row>
    <row r="66" spans="1:10" ht="15.75">
      <c r="A66" s="849" t="s">
        <v>716</v>
      </c>
      <c r="B66" s="849"/>
      <c r="C66" s="617">
        <f>IF(ISERROR('PresDist '!F42),"",'PresDist '!F42)</f>
        <v>52</v>
      </c>
      <c r="D66" s="527"/>
      <c r="E66" s="527"/>
      <c r="F66" s="849"/>
      <c r="G66" s="849"/>
      <c r="H66" s="602"/>
      <c r="I66" s="527"/>
    </row>
    <row r="67" spans="1:10" ht="3.75" customHeight="1">
      <c r="A67" s="565"/>
      <c r="B67" s="565"/>
      <c r="C67" s="615"/>
      <c r="D67" s="527"/>
      <c r="E67" s="527"/>
      <c r="F67" s="565"/>
      <c r="G67" s="565"/>
      <c r="H67" s="527"/>
      <c r="I67" s="527"/>
    </row>
    <row r="68" spans="1:10" ht="18.75">
      <c r="A68" s="849" t="s">
        <v>718</v>
      </c>
      <c r="B68" s="849"/>
      <c r="C68" s="617">
        <f>IF(ISERROR('PresDist '!F49),"",'PresDist '!F49)</f>
        <v>380</v>
      </c>
      <c r="D68" s="527" t="s">
        <v>791</v>
      </c>
      <c r="E68" s="855" t="s">
        <v>858</v>
      </c>
      <c r="F68" s="855"/>
      <c r="G68" s="855"/>
      <c r="H68" s="855"/>
      <c r="I68" s="855"/>
    </row>
    <row r="69" spans="1:10" ht="21" customHeight="1">
      <c r="A69" s="527"/>
      <c r="B69" s="527"/>
      <c r="C69" s="527"/>
      <c r="D69" s="527"/>
      <c r="E69" s="856"/>
      <c r="F69" s="856"/>
      <c r="G69" s="856"/>
      <c r="H69" s="856"/>
      <c r="I69" s="856"/>
    </row>
    <row r="70" spans="1:10" ht="15.75">
      <c r="A70" s="851" t="s">
        <v>677</v>
      </c>
      <c r="B70" s="852"/>
      <c r="C70" s="852"/>
      <c r="D70" s="852"/>
      <c r="E70" s="852"/>
      <c r="F70" s="852"/>
      <c r="G70" s="852"/>
      <c r="H70" s="852"/>
      <c r="I70" s="853"/>
    </row>
    <row r="71" spans="1:10" ht="15.75">
      <c r="A71" s="527"/>
      <c r="B71" s="527"/>
      <c r="C71" s="527"/>
      <c r="D71" s="527"/>
      <c r="E71" s="527"/>
      <c r="F71" s="527"/>
      <c r="G71" s="527"/>
      <c r="H71" s="527"/>
      <c r="I71" s="527"/>
    </row>
    <row r="72" spans="1:10" ht="18.75">
      <c r="A72" s="849" t="s">
        <v>678</v>
      </c>
      <c r="B72" s="850"/>
      <c r="C72" s="570">
        <f>IF(ISBLANK(Dosing!D21),"",Dosing!D21)</f>
        <v>20</v>
      </c>
      <c r="D72" s="527" t="s">
        <v>791</v>
      </c>
      <c r="E72" s="527"/>
      <c r="F72" s="849" t="s">
        <v>682</v>
      </c>
      <c r="G72" s="849"/>
      <c r="H72" s="570">
        <f>IF(ISERROR(Dosing!F46),"",Dosing!F46)</f>
        <v>150</v>
      </c>
      <c r="I72" s="527" t="s">
        <v>9</v>
      </c>
    </row>
    <row r="73" spans="1:10" ht="4.5" customHeight="1">
      <c r="A73" s="527"/>
      <c r="B73" s="527"/>
      <c r="C73" s="527"/>
      <c r="D73" s="527"/>
      <c r="E73" s="527"/>
      <c r="F73" s="527"/>
      <c r="G73" s="527"/>
      <c r="H73" s="527"/>
      <c r="I73" s="527"/>
    </row>
    <row r="74" spans="1:10" ht="15.75">
      <c r="A74" s="849" t="s">
        <v>679</v>
      </c>
      <c r="B74" s="849"/>
      <c r="C74" s="570">
        <f>IF(ISBLANK(Dosing!G21),"",Dosing!G21)</f>
        <v>12.5</v>
      </c>
      <c r="D74" s="527" t="s">
        <v>686</v>
      </c>
      <c r="E74" s="527"/>
      <c r="F74" s="854" t="s">
        <v>683</v>
      </c>
      <c r="G74" s="854"/>
      <c r="H74" s="571">
        <f>IF(ISERROR(Dosing!F64),"",Dosing!F64)</f>
        <v>12.475999999999999</v>
      </c>
      <c r="I74" s="527" t="s">
        <v>5</v>
      </c>
    </row>
    <row r="75" spans="1:10" ht="5.25" customHeight="1">
      <c r="A75" s="527"/>
      <c r="B75" s="527"/>
      <c r="C75" s="527"/>
      <c r="D75" s="527"/>
      <c r="E75" s="527"/>
      <c r="F75" s="527"/>
      <c r="G75" s="527"/>
      <c r="H75" s="527"/>
      <c r="I75" s="527"/>
    </row>
    <row r="76" spans="1:10" ht="15.75">
      <c r="A76" s="849" t="s">
        <v>680</v>
      </c>
      <c r="B76" s="850"/>
      <c r="C76" s="570">
        <f>IF(ISBLANK(Dosing!G31),"",Dosing!G31)</f>
        <v>487.5</v>
      </c>
      <c r="D76" s="527" t="s">
        <v>9</v>
      </c>
      <c r="E76" s="527"/>
      <c r="F76" s="849" t="s">
        <v>684</v>
      </c>
      <c r="G76" s="849"/>
      <c r="H76" s="570">
        <f>IF(ISBLANK(Dosing!H69),"",Dosing!H69)</f>
        <v>37.5</v>
      </c>
      <c r="I76" s="527" t="s">
        <v>9</v>
      </c>
    </row>
    <row r="77" spans="1:10" ht="4.5" customHeight="1">
      <c r="A77" s="527"/>
      <c r="B77" s="527"/>
      <c r="C77" s="527"/>
      <c r="D77" s="527"/>
      <c r="E77" s="527"/>
      <c r="F77" s="527"/>
      <c r="G77" s="527"/>
      <c r="H77" s="527"/>
      <c r="I77" s="527"/>
    </row>
    <row r="78" spans="1:10" ht="15.75">
      <c r="A78" s="849" t="s">
        <v>681</v>
      </c>
      <c r="B78" s="849"/>
      <c r="C78" s="570">
        <f>IF(ISBLANK(Dosing!G37),"",Dosing!G37)</f>
        <v>125</v>
      </c>
      <c r="D78" s="527" t="s">
        <v>9</v>
      </c>
      <c r="E78" s="527"/>
      <c r="F78" s="849" t="s">
        <v>685</v>
      </c>
      <c r="G78" s="849"/>
      <c r="H78" s="571">
        <f>IF(ISERROR(Dosing!F80),"",Dosing!F80)</f>
        <v>25.475999999999999</v>
      </c>
      <c r="I78" s="527" t="s">
        <v>5</v>
      </c>
    </row>
    <row r="79" spans="1:10" ht="15.75">
      <c r="A79" s="527"/>
      <c r="B79" s="527"/>
      <c r="C79" s="527"/>
      <c r="D79" s="527"/>
      <c r="E79" s="527"/>
      <c r="F79" s="527"/>
      <c r="G79" s="527"/>
      <c r="H79" s="527"/>
      <c r="I79" s="527"/>
    </row>
    <row r="80" spans="1:10" ht="15.75">
      <c r="A80" s="527"/>
      <c r="B80" s="527"/>
      <c r="C80" s="527"/>
      <c r="D80" s="527"/>
      <c r="E80" s="527"/>
      <c r="F80" s="527"/>
      <c r="G80" s="527"/>
      <c r="H80" s="527"/>
      <c r="I80" s="527"/>
      <c r="J80" s="44"/>
    </row>
    <row r="81" spans="1:10" ht="15.75">
      <c r="A81" s="527"/>
      <c r="B81" s="527"/>
      <c r="C81" s="527"/>
      <c r="D81" s="527"/>
      <c r="E81" s="527"/>
      <c r="F81" s="527"/>
      <c r="G81" s="527"/>
      <c r="H81" s="527"/>
      <c r="I81" s="527"/>
      <c r="J81" s="44"/>
    </row>
    <row r="82" spans="1:10" ht="15.75">
      <c r="A82" s="635" t="s">
        <v>854</v>
      </c>
      <c r="B82" s="636"/>
      <c r="C82" s="636"/>
      <c r="D82" s="636"/>
      <c r="E82" s="636"/>
      <c r="F82" s="636"/>
      <c r="G82" s="636"/>
      <c r="H82" s="636"/>
      <c r="I82" s="637"/>
      <c r="J82" s="44"/>
    </row>
    <row r="83" spans="1:10" ht="15.75">
      <c r="A83" s="638"/>
      <c r="B83" s="639"/>
      <c r="C83" s="639"/>
      <c r="D83" s="639"/>
      <c r="E83" s="639"/>
      <c r="F83" s="639"/>
      <c r="G83" s="639"/>
      <c r="H83" s="639"/>
      <c r="I83" s="626"/>
      <c r="J83" s="44"/>
    </row>
    <row r="84" spans="1:10" ht="15.75">
      <c r="A84" s="640"/>
      <c r="B84" s="634"/>
      <c r="C84" s="634"/>
      <c r="D84" s="639" t="s">
        <v>76</v>
      </c>
      <c r="E84" s="847">
        <f>IF(ISBLANK('Site Evaluation'!G13),"",'Site Evaluation'!G13)</f>
        <v>45678</v>
      </c>
      <c r="F84" s="848"/>
      <c r="G84" s="639" t="s">
        <v>855</v>
      </c>
      <c r="H84" s="634"/>
      <c r="I84" s="626" t="s">
        <v>75</v>
      </c>
      <c r="J84" s="44"/>
    </row>
    <row r="85" spans="1:10" ht="15.75">
      <c r="A85" s="640"/>
      <c r="B85" s="634"/>
      <c r="C85" s="634"/>
      <c r="D85" s="634"/>
      <c r="E85" s="634"/>
      <c r="F85" s="634"/>
      <c r="G85" s="634"/>
      <c r="H85" s="634"/>
      <c r="I85" s="641"/>
      <c r="J85" s="44"/>
    </row>
    <row r="86" spans="1:10" ht="15.75">
      <c r="A86" s="527"/>
      <c r="B86" s="527"/>
      <c r="C86" s="527"/>
      <c r="D86" s="527"/>
      <c r="E86" s="527"/>
      <c r="F86" s="527"/>
      <c r="G86" s="527"/>
      <c r="H86" s="527"/>
      <c r="I86" s="527"/>
      <c r="J86" s="44"/>
    </row>
    <row r="87" spans="1:10" ht="15.75">
      <c r="A87" s="635" t="s">
        <v>856</v>
      </c>
      <c r="B87" s="636"/>
      <c r="C87" s="636"/>
      <c r="D87" s="636"/>
      <c r="E87" s="636"/>
      <c r="F87" s="636"/>
      <c r="G87" s="636"/>
      <c r="H87" s="636"/>
      <c r="I87" s="637"/>
      <c r="J87" s="44"/>
    </row>
    <row r="88" spans="1:10" ht="15.75">
      <c r="A88" s="638"/>
      <c r="B88" s="639"/>
      <c r="C88" s="639"/>
      <c r="D88" s="639"/>
      <c r="E88" s="639"/>
      <c r="F88" s="639"/>
      <c r="G88" s="639"/>
      <c r="H88" s="639"/>
      <c r="I88" s="626"/>
      <c r="J88" s="44"/>
    </row>
    <row r="89" spans="1:10" ht="15.75">
      <c r="A89" s="640"/>
      <c r="B89" s="634"/>
      <c r="C89" s="634"/>
      <c r="D89" s="639" t="s">
        <v>76</v>
      </c>
      <c r="E89" s="848"/>
      <c r="F89" s="848"/>
      <c r="G89" s="639" t="s">
        <v>857</v>
      </c>
      <c r="H89" s="634"/>
      <c r="I89" s="626" t="s">
        <v>75</v>
      </c>
    </row>
    <row r="90" spans="1:10" ht="15.75">
      <c r="A90" s="640"/>
      <c r="B90" s="634"/>
      <c r="C90" s="634"/>
      <c r="D90" s="634"/>
      <c r="E90" s="634"/>
      <c r="F90" s="634"/>
      <c r="G90" s="634"/>
      <c r="H90" s="634"/>
      <c r="I90" s="641"/>
    </row>
    <row r="91" spans="1:10" ht="15.75">
      <c r="A91" s="527"/>
      <c r="B91" s="527"/>
      <c r="C91" s="527"/>
      <c r="D91" s="527"/>
      <c r="E91" s="527"/>
      <c r="F91" s="527"/>
      <c r="G91" s="527"/>
      <c r="H91" s="527"/>
      <c r="I91" s="527"/>
    </row>
    <row r="92" spans="1:10" ht="15.75">
      <c r="A92" s="527"/>
      <c r="B92" s="527"/>
      <c r="C92" s="527"/>
      <c r="D92" s="527"/>
      <c r="E92" s="527"/>
      <c r="F92" s="527"/>
      <c r="G92" s="527"/>
      <c r="H92" s="527"/>
      <c r="I92" s="527"/>
    </row>
    <row r="93" spans="1:10" ht="3" customHeight="1">
      <c r="A93" s="527"/>
      <c r="B93" s="527"/>
      <c r="C93" s="527"/>
      <c r="D93" s="527"/>
      <c r="E93" s="527"/>
      <c r="F93" s="527"/>
      <c r="G93" s="527"/>
      <c r="H93" s="527"/>
      <c r="I93" s="527"/>
    </row>
    <row r="94" spans="1:10" ht="15.75">
      <c r="A94" s="527"/>
      <c r="B94" s="527"/>
      <c r="C94" s="527"/>
      <c r="D94" s="527"/>
      <c r="E94" s="527"/>
      <c r="F94" s="527"/>
      <c r="G94" s="527"/>
      <c r="H94" s="527"/>
      <c r="I94" s="527"/>
    </row>
    <row r="95" spans="1:10" ht="3" customHeight="1">
      <c r="A95" s="44"/>
      <c r="B95" s="44"/>
      <c r="C95" s="44"/>
      <c r="D95" s="44"/>
      <c r="E95" s="44"/>
      <c r="F95" s="44"/>
      <c r="G95" s="44"/>
      <c r="H95" s="44"/>
      <c r="I95" s="44"/>
    </row>
    <row r="96" spans="1:10">
      <c r="A96" s="44"/>
      <c r="B96" s="44"/>
      <c r="C96" s="44"/>
      <c r="D96" s="44"/>
      <c r="E96" s="44"/>
      <c r="F96" s="44"/>
      <c r="G96" s="44"/>
      <c r="H96" s="44"/>
      <c r="I96" s="44"/>
    </row>
    <row r="97" spans="1:9" ht="2.25" customHeight="1">
      <c r="A97" s="44"/>
      <c r="B97" s="44"/>
      <c r="C97" s="44"/>
      <c r="D97" s="44"/>
      <c r="E97" s="44"/>
      <c r="F97" s="44"/>
      <c r="G97" s="44"/>
      <c r="H97" s="44"/>
      <c r="I97" s="44"/>
    </row>
    <row r="98" spans="1:9">
      <c r="A98" s="44"/>
      <c r="B98" s="44"/>
      <c r="C98" s="44"/>
      <c r="D98" s="44"/>
      <c r="E98" s="44"/>
      <c r="F98" s="44"/>
      <c r="G98" s="44"/>
      <c r="H98" s="44"/>
      <c r="I98" s="44"/>
    </row>
    <row r="99" spans="1:9">
      <c r="A99" s="44"/>
      <c r="B99" s="44"/>
      <c r="C99" s="44"/>
      <c r="D99" s="44"/>
      <c r="E99" s="44"/>
      <c r="F99" s="44"/>
      <c r="G99" s="44"/>
      <c r="H99" s="44"/>
      <c r="I99" s="44"/>
    </row>
    <row r="100" spans="1:9">
      <c r="A100" s="44"/>
      <c r="B100" s="44"/>
      <c r="C100" s="44"/>
      <c r="D100" s="44"/>
      <c r="E100" s="44"/>
      <c r="F100" s="44"/>
      <c r="G100" s="44"/>
      <c r="H100" s="44"/>
    </row>
  </sheetData>
  <mergeCells count="71">
    <mergeCell ref="A16:B16"/>
    <mergeCell ref="A20:B20"/>
    <mergeCell ref="A18:B18"/>
    <mergeCell ref="F16:G16"/>
    <mergeCell ref="A8:B8"/>
    <mergeCell ref="F8:G8"/>
    <mergeCell ref="F14:G14"/>
    <mergeCell ref="F12:G12"/>
    <mergeCell ref="A12:B12"/>
    <mergeCell ref="A14:B14"/>
    <mergeCell ref="A10:I10"/>
    <mergeCell ref="A4:I4"/>
    <mergeCell ref="A6:B6"/>
    <mergeCell ref="F6:G6"/>
    <mergeCell ref="A1:E2"/>
    <mergeCell ref="G2:I2"/>
    <mergeCell ref="G1:I1"/>
    <mergeCell ref="A34:I34"/>
    <mergeCell ref="A36:B36"/>
    <mergeCell ref="A38:B38"/>
    <mergeCell ref="F18:G18"/>
    <mergeCell ref="A22:I22"/>
    <mergeCell ref="A24:B24"/>
    <mergeCell ref="F24:G24"/>
    <mergeCell ref="A26:B26"/>
    <mergeCell ref="F26:G26"/>
    <mergeCell ref="A28:B28"/>
    <mergeCell ref="F28:G28"/>
    <mergeCell ref="A30:B30"/>
    <mergeCell ref="F30:G30"/>
    <mergeCell ref="F32:G32"/>
    <mergeCell ref="A32:B32"/>
    <mergeCell ref="A42:B42"/>
    <mergeCell ref="A44:B44"/>
    <mergeCell ref="F38:G38"/>
    <mergeCell ref="F40:G40"/>
    <mergeCell ref="F42:G42"/>
    <mergeCell ref="A40:B40"/>
    <mergeCell ref="A68:B68"/>
    <mergeCell ref="F60:G60"/>
    <mergeCell ref="F62:G62"/>
    <mergeCell ref="F64:G64"/>
    <mergeCell ref="F66:G66"/>
    <mergeCell ref="E68:I69"/>
    <mergeCell ref="A58:I58"/>
    <mergeCell ref="A60:B60"/>
    <mergeCell ref="A62:B62"/>
    <mergeCell ref="A64:B64"/>
    <mergeCell ref="A66:B66"/>
    <mergeCell ref="A76:B76"/>
    <mergeCell ref="A78:B78"/>
    <mergeCell ref="F72:G72"/>
    <mergeCell ref="F74:G74"/>
    <mergeCell ref="F76:G76"/>
    <mergeCell ref="F78:G78"/>
    <mergeCell ref="E84:F84"/>
    <mergeCell ref="E89:F89"/>
    <mergeCell ref="E36:G36"/>
    <mergeCell ref="A56:B56"/>
    <mergeCell ref="A46:I46"/>
    <mergeCell ref="F48:G48"/>
    <mergeCell ref="F50:G50"/>
    <mergeCell ref="F52:G52"/>
    <mergeCell ref="F54:G54"/>
    <mergeCell ref="A48:B48"/>
    <mergeCell ref="A50:B50"/>
    <mergeCell ref="A52:B52"/>
    <mergeCell ref="A54:B54"/>
    <mergeCell ref="A70:I70"/>
    <mergeCell ref="A72:B72"/>
    <mergeCell ref="A74:B74"/>
  </mergeCells>
  <pageMargins left="0.7" right="0.7" top="0.75" bottom="0.75" header="0.3" footer="0.3"/>
  <pageSetup scale="80" orientation="portrait" r:id="rId1"/>
  <headerFoot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K41"/>
  <sheetViews>
    <sheetView zoomScaleNormal="100" workbookViewId="0">
      <selection activeCell="L4" sqref="L4"/>
    </sheetView>
  </sheetViews>
  <sheetFormatPr defaultRowHeight="15"/>
  <cols>
    <col min="1" max="1" width="10.7109375" style="44" customWidth="1"/>
    <col min="2" max="2" width="6.5703125" style="44" customWidth="1"/>
    <col min="3" max="7" width="10.7109375" style="44" customWidth="1"/>
    <col min="8" max="8" width="14.140625" style="44" customWidth="1"/>
    <col min="9" max="11" width="10.7109375" style="44" customWidth="1"/>
    <col min="12" max="16384" width="9.140625" style="44"/>
  </cols>
  <sheetData>
    <row r="1" spans="1:11" ht="63" customHeight="1">
      <c r="A1" s="136"/>
      <c r="B1" s="135"/>
      <c r="C1" s="645" t="s">
        <v>570</v>
      </c>
      <c r="D1" s="645"/>
      <c r="E1" s="645"/>
      <c r="F1" s="645"/>
      <c r="G1" s="645"/>
      <c r="H1" s="645"/>
      <c r="I1" s="135"/>
      <c r="J1" s="135"/>
      <c r="K1" s="135"/>
    </row>
    <row r="2" spans="1:11" ht="47.25" customHeight="1">
      <c r="A2" s="646" t="s">
        <v>853</v>
      </c>
      <c r="B2" s="647"/>
      <c r="C2" s="647"/>
      <c r="D2" s="647"/>
      <c r="E2" s="647"/>
      <c r="F2" s="647"/>
      <c r="G2" s="647"/>
      <c r="H2" s="647"/>
      <c r="I2" s="647"/>
      <c r="J2" s="647"/>
      <c r="K2" s="648"/>
    </row>
    <row r="3" spans="1:11" ht="6" customHeight="1">
      <c r="A3" s="649"/>
      <c r="B3" s="650"/>
      <c r="C3" s="650"/>
      <c r="D3" s="650"/>
      <c r="E3" s="650"/>
      <c r="F3" s="650"/>
      <c r="G3" s="650"/>
      <c r="H3" s="650"/>
      <c r="I3" s="650"/>
      <c r="J3" s="650"/>
      <c r="K3" s="651"/>
    </row>
    <row r="4" spans="1:11" ht="15.75">
      <c r="A4" s="134" t="s">
        <v>569</v>
      </c>
      <c r="B4" s="131" t="s">
        <v>571</v>
      </c>
      <c r="C4" s="130"/>
      <c r="D4" s="127"/>
      <c r="E4" s="131" t="s">
        <v>844</v>
      </c>
      <c r="F4" s="127"/>
      <c r="G4" s="127"/>
      <c r="H4" s="44" t="s">
        <v>848</v>
      </c>
      <c r="I4" s="127"/>
      <c r="J4" s="130" t="s">
        <v>852</v>
      </c>
      <c r="K4" s="129"/>
    </row>
    <row r="5" spans="1:11" ht="15.75">
      <c r="A5" s="132"/>
      <c r="B5" s="133" t="s">
        <v>841</v>
      </c>
      <c r="C5" s="130"/>
      <c r="D5" s="127"/>
      <c r="E5" s="131" t="s">
        <v>845</v>
      </c>
      <c r="F5" s="127"/>
      <c r="G5" s="127"/>
      <c r="H5" s="44" t="s">
        <v>849</v>
      </c>
      <c r="I5" s="127"/>
      <c r="J5" s="130"/>
      <c r="K5" s="129"/>
    </row>
    <row r="6" spans="1:11" ht="15.75">
      <c r="A6" s="132"/>
      <c r="B6" s="131" t="s">
        <v>843</v>
      </c>
      <c r="C6" s="130"/>
      <c r="D6" s="127"/>
      <c r="E6" s="131" t="s">
        <v>846</v>
      </c>
      <c r="F6" s="127"/>
      <c r="G6" s="127"/>
      <c r="H6" s="44" t="s">
        <v>850</v>
      </c>
      <c r="I6" s="127"/>
      <c r="J6" s="130"/>
      <c r="K6" s="129"/>
    </row>
    <row r="7" spans="1:11" ht="15.75">
      <c r="A7" s="132"/>
      <c r="B7" s="131" t="s">
        <v>842</v>
      </c>
      <c r="C7" s="130"/>
      <c r="D7" s="127"/>
      <c r="E7" s="131" t="s">
        <v>847</v>
      </c>
      <c r="F7" s="127"/>
      <c r="G7" s="127"/>
      <c r="H7" s="44" t="s">
        <v>851</v>
      </c>
      <c r="I7" s="127"/>
      <c r="J7" s="130"/>
      <c r="K7" s="129"/>
    </row>
    <row r="8" spans="1:11" ht="6" customHeight="1">
      <c r="A8" s="128"/>
      <c r="B8" s="127"/>
      <c r="C8" s="127"/>
      <c r="D8" s="127"/>
      <c r="E8" s="127"/>
      <c r="F8" s="127"/>
      <c r="G8" s="127"/>
      <c r="H8" s="127"/>
      <c r="I8" s="127"/>
      <c r="J8" s="127"/>
      <c r="K8" s="126"/>
    </row>
    <row r="9" spans="1:11" ht="33" customHeight="1">
      <c r="A9" s="652" t="s">
        <v>568</v>
      </c>
      <c r="B9" s="653"/>
      <c r="C9" s="653"/>
      <c r="D9" s="653"/>
      <c r="E9" s="653"/>
      <c r="F9" s="653"/>
      <c r="G9" s="653"/>
      <c r="H9" s="653"/>
      <c r="I9" s="653"/>
      <c r="J9" s="653"/>
      <c r="K9" s="654"/>
    </row>
    <row r="10" spans="1:11" ht="15.75">
      <c r="A10" s="128" t="s">
        <v>567</v>
      </c>
      <c r="B10" s="127"/>
      <c r="C10" s="127"/>
      <c r="D10" s="127"/>
      <c r="E10" s="127"/>
      <c r="F10" s="127"/>
      <c r="G10" s="127"/>
      <c r="H10" s="127"/>
      <c r="I10" s="127"/>
      <c r="J10" s="127"/>
      <c r="K10" s="126"/>
    </row>
    <row r="11" spans="1:11" ht="33" customHeight="1">
      <c r="A11" s="655" t="s">
        <v>566</v>
      </c>
      <c r="B11" s="653"/>
      <c r="C11" s="653"/>
      <c r="D11" s="653"/>
      <c r="E11" s="653"/>
      <c r="F11" s="653"/>
      <c r="G11" s="653"/>
      <c r="H11" s="653"/>
      <c r="I11" s="653"/>
      <c r="J11" s="653"/>
      <c r="K11" s="654"/>
    </row>
    <row r="12" spans="1:11" ht="15.75">
      <c r="A12" s="655" t="s">
        <v>565</v>
      </c>
      <c r="B12" s="656"/>
      <c r="C12" s="656"/>
      <c r="D12" s="656"/>
      <c r="E12" s="656"/>
      <c r="F12" s="656"/>
      <c r="G12" s="656"/>
      <c r="H12" s="656"/>
      <c r="I12" s="656"/>
      <c r="J12" s="656"/>
      <c r="K12" s="657"/>
    </row>
    <row r="13" spans="1:11" ht="15.75">
      <c r="A13" s="658" t="s">
        <v>564</v>
      </c>
      <c r="B13" s="659"/>
      <c r="C13" s="659"/>
      <c r="D13" s="659"/>
      <c r="E13" s="659"/>
      <c r="F13" s="659"/>
      <c r="G13" s="659"/>
      <c r="H13" s="659"/>
      <c r="I13" s="659"/>
      <c r="J13" s="659"/>
      <c r="K13" s="660"/>
    </row>
    <row r="14" spans="1:11">
      <c r="A14" s="661" t="s">
        <v>563</v>
      </c>
      <c r="B14" s="662"/>
      <c r="C14" s="662"/>
      <c r="D14" s="662"/>
      <c r="E14" s="662"/>
      <c r="F14" s="662"/>
      <c r="G14" s="662"/>
      <c r="H14" s="662"/>
      <c r="I14" s="662"/>
      <c r="J14" s="662"/>
      <c r="K14" s="663"/>
    </row>
    <row r="15" spans="1:11" ht="6" customHeight="1">
      <c r="A15" s="649"/>
      <c r="B15" s="650"/>
      <c r="C15" s="650"/>
      <c r="D15" s="650"/>
      <c r="E15" s="650"/>
      <c r="F15" s="650"/>
      <c r="G15" s="650"/>
      <c r="H15" s="650"/>
      <c r="I15" s="650"/>
      <c r="J15" s="650"/>
      <c r="K15" s="651"/>
    </row>
    <row r="16" spans="1:11" ht="33" customHeight="1">
      <c r="A16" s="664" t="s">
        <v>562</v>
      </c>
      <c r="B16" s="653"/>
      <c r="C16" s="653"/>
      <c r="D16" s="653"/>
      <c r="E16" s="653"/>
      <c r="F16" s="653"/>
      <c r="G16" s="653"/>
      <c r="H16" s="653"/>
      <c r="I16" s="653"/>
      <c r="J16" s="653"/>
      <c r="K16" s="654"/>
    </row>
    <row r="17" spans="1:11" ht="6" customHeight="1">
      <c r="A17" s="649"/>
      <c r="B17" s="650"/>
      <c r="C17" s="650"/>
      <c r="D17" s="650"/>
      <c r="E17" s="650"/>
      <c r="F17" s="650"/>
      <c r="G17" s="650"/>
      <c r="H17" s="650"/>
      <c r="I17" s="650"/>
      <c r="J17" s="650"/>
      <c r="K17" s="651"/>
    </row>
    <row r="18" spans="1:11" ht="15.75">
      <c r="A18" s="664" t="s">
        <v>561</v>
      </c>
      <c r="B18" s="653"/>
      <c r="C18" s="653"/>
      <c r="D18" s="653"/>
      <c r="E18" s="653"/>
      <c r="F18" s="653"/>
      <c r="G18" s="653"/>
      <c r="H18" s="653"/>
      <c r="I18" s="653"/>
      <c r="J18" s="653"/>
      <c r="K18" s="654"/>
    </row>
    <row r="19" spans="1:11" ht="15.75">
      <c r="A19" s="658" t="s">
        <v>560</v>
      </c>
      <c r="B19" s="659"/>
      <c r="C19" s="659"/>
      <c r="D19" s="659"/>
      <c r="E19" s="659"/>
      <c r="F19" s="659"/>
      <c r="G19" s="659"/>
      <c r="H19" s="659"/>
      <c r="I19" s="659"/>
      <c r="J19" s="659"/>
      <c r="K19" s="660"/>
    </row>
    <row r="20" spans="1:11">
      <c r="A20" s="661" t="s">
        <v>631</v>
      </c>
      <c r="B20" s="662"/>
      <c r="C20" s="662"/>
      <c r="D20" s="662"/>
      <c r="E20" s="662"/>
      <c r="F20" s="662"/>
      <c r="G20" s="662"/>
      <c r="H20" s="662"/>
      <c r="I20" s="662"/>
      <c r="J20" s="662"/>
      <c r="K20" s="663"/>
    </row>
    <row r="21" spans="1:11" ht="6" customHeight="1">
      <c r="A21" s="649"/>
      <c r="B21" s="650"/>
      <c r="C21" s="650"/>
      <c r="D21" s="650"/>
      <c r="E21" s="650"/>
      <c r="F21" s="650"/>
      <c r="G21" s="650"/>
      <c r="H21" s="650"/>
      <c r="I21" s="650"/>
      <c r="J21" s="650"/>
      <c r="K21" s="651"/>
    </row>
    <row r="22" spans="1:11" ht="43.5" customHeight="1">
      <c r="A22" s="664" t="s">
        <v>559</v>
      </c>
      <c r="B22" s="653"/>
      <c r="C22" s="653"/>
      <c r="D22" s="653"/>
      <c r="E22" s="653"/>
      <c r="F22" s="653"/>
      <c r="G22" s="653"/>
      <c r="H22" s="653"/>
      <c r="I22" s="653"/>
      <c r="J22" s="653"/>
      <c r="K22" s="654"/>
    </row>
    <row r="23" spans="1:11" ht="6" customHeight="1">
      <c r="A23" s="649"/>
      <c r="B23" s="650"/>
      <c r="C23" s="650"/>
      <c r="D23" s="650"/>
      <c r="E23" s="650"/>
      <c r="F23" s="650"/>
      <c r="G23" s="650"/>
      <c r="H23" s="650"/>
      <c r="I23" s="650"/>
      <c r="J23" s="650"/>
      <c r="K23" s="651"/>
    </row>
    <row r="24" spans="1:11" ht="15.75">
      <c r="A24" s="664" t="s">
        <v>632</v>
      </c>
      <c r="B24" s="653"/>
      <c r="C24" s="653"/>
      <c r="D24" s="653"/>
      <c r="E24" s="653"/>
      <c r="F24" s="653"/>
      <c r="G24" s="653"/>
      <c r="H24" s="653"/>
      <c r="I24" s="653"/>
      <c r="J24" s="653"/>
      <c r="K24" s="654"/>
    </row>
    <row r="25" spans="1:11" ht="15.75">
      <c r="A25" s="665" t="s">
        <v>558</v>
      </c>
      <c r="B25" s="666"/>
      <c r="C25" s="666"/>
      <c r="D25" s="666"/>
      <c r="E25" s="666"/>
      <c r="F25" s="666"/>
      <c r="G25" s="666"/>
      <c r="H25" s="666"/>
      <c r="I25" s="666"/>
      <c r="J25" s="666"/>
      <c r="K25" s="667"/>
    </row>
    <row r="26" spans="1:11" ht="62.25" customHeight="1">
      <c r="A26" s="668" t="s">
        <v>557</v>
      </c>
      <c r="B26" s="669"/>
      <c r="C26" s="669"/>
      <c r="D26" s="669"/>
      <c r="E26" s="669"/>
      <c r="F26" s="669"/>
      <c r="G26" s="669"/>
      <c r="H26" s="669"/>
      <c r="I26" s="669"/>
      <c r="J26" s="669"/>
      <c r="K26" s="670"/>
    </row>
    <row r="27" spans="1:11" ht="6" customHeight="1">
      <c r="A27" s="649"/>
      <c r="B27" s="650"/>
      <c r="C27" s="650"/>
      <c r="D27" s="650"/>
      <c r="E27" s="650"/>
      <c r="F27" s="650"/>
      <c r="G27" s="650"/>
      <c r="H27" s="650"/>
      <c r="I27" s="650"/>
      <c r="J27" s="650"/>
      <c r="K27" s="651"/>
    </row>
    <row r="28" spans="1:11" ht="15.75">
      <c r="A28" s="658" t="s">
        <v>556</v>
      </c>
      <c r="B28" s="659"/>
      <c r="C28" s="659"/>
      <c r="D28" s="659"/>
      <c r="E28" s="659"/>
      <c r="F28" s="659"/>
      <c r="G28" s="659"/>
      <c r="H28" s="659"/>
      <c r="I28" s="659"/>
      <c r="J28" s="659"/>
      <c r="K28" s="660"/>
    </row>
    <row r="29" spans="1:11" ht="49.5" customHeight="1">
      <c r="A29" s="664" t="s">
        <v>555</v>
      </c>
      <c r="B29" s="653"/>
      <c r="C29" s="653"/>
      <c r="D29" s="653"/>
      <c r="E29" s="653"/>
      <c r="F29" s="653"/>
      <c r="G29" s="653"/>
      <c r="H29" s="653"/>
      <c r="I29" s="653"/>
      <c r="J29" s="653"/>
      <c r="K29" s="654"/>
    </row>
    <row r="30" spans="1:11" ht="6" customHeight="1">
      <c r="A30" s="649"/>
      <c r="B30" s="650"/>
      <c r="C30" s="650"/>
      <c r="D30" s="650"/>
      <c r="E30" s="650"/>
      <c r="F30" s="650"/>
      <c r="G30" s="650"/>
      <c r="H30" s="650"/>
      <c r="I30" s="650"/>
      <c r="J30" s="650"/>
      <c r="K30" s="651"/>
    </row>
    <row r="31" spans="1:11" ht="49.5" customHeight="1">
      <c r="A31" s="664" t="s">
        <v>554</v>
      </c>
      <c r="B31" s="653"/>
      <c r="C31" s="653"/>
      <c r="D31" s="653"/>
      <c r="E31" s="653"/>
      <c r="F31" s="653"/>
      <c r="G31" s="653"/>
      <c r="H31" s="653"/>
      <c r="I31" s="653"/>
      <c r="J31" s="653"/>
      <c r="K31" s="654"/>
    </row>
    <row r="32" spans="1:11" ht="6" customHeight="1">
      <c r="A32" s="674"/>
      <c r="B32" s="675"/>
      <c r="C32" s="675"/>
      <c r="D32" s="675"/>
      <c r="E32" s="675"/>
      <c r="F32" s="675"/>
      <c r="G32" s="675"/>
      <c r="H32" s="675"/>
      <c r="I32" s="675"/>
      <c r="J32" s="675"/>
      <c r="K32" s="676"/>
    </row>
    <row r="33" spans="1:11" ht="15.75">
      <c r="A33" s="658" t="s">
        <v>553</v>
      </c>
      <c r="B33" s="659"/>
      <c r="C33" s="659"/>
      <c r="D33" s="659"/>
      <c r="E33" s="659"/>
      <c r="F33" s="659"/>
      <c r="G33" s="659"/>
      <c r="H33" s="659"/>
      <c r="I33" s="659"/>
      <c r="J33" s="659"/>
      <c r="K33" s="660"/>
    </row>
    <row r="34" spans="1:11" ht="68.25" customHeight="1">
      <c r="A34" s="671" t="s">
        <v>552</v>
      </c>
      <c r="B34" s="672"/>
      <c r="C34" s="672"/>
      <c r="D34" s="672"/>
      <c r="E34" s="672"/>
      <c r="F34" s="672"/>
      <c r="G34" s="672"/>
      <c r="H34" s="672"/>
      <c r="I34" s="672"/>
      <c r="J34" s="672"/>
      <c r="K34" s="673"/>
    </row>
    <row r="35" spans="1:11" ht="15.75">
      <c r="A35" s="658" t="s">
        <v>551</v>
      </c>
      <c r="B35" s="659"/>
      <c r="C35" s="659"/>
      <c r="D35" s="659"/>
      <c r="E35" s="659"/>
      <c r="F35" s="659"/>
      <c r="G35" s="659"/>
      <c r="H35" s="659"/>
      <c r="I35" s="659"/>
      <c r="J35" s="659"/>
      <c r="K35" s="660"/>
    </row>
    <row r="36" spans="1:11" ht="61.5" customHeight="1">
      <c r="A36" s="664" t="s">
        <v>550</v>
      </c>
      <c r="B36" s="653"/>
      <c r="C36" s="653"/>
      <c r="D36" s="653"/>
      <c r="E36" s="653"/>
      <c r="F36" s="653"/>
      <c r="G36" s="653"/>
      <c r="H36" s="653"/>
      <c r="I36" s="653"/>
      <c r="J36" s="653"/>
      <c r="K36" s="654"/>
    </row>
    <row r="37" spans="1:11" ht="6" customHeight="1">
      <c r="A37" s="649"/>
      <c r="B37" s="650"/>
      <c r="C37" s="650"/>
      <c r="D37" s="650"/>
      <c r="E37" s="650"/>
      <c r="F37" s="650"/>
      <c r="G37" s="650"/>
      <c r="H37" s="650"/>
      <c r="I37" s="650"/>
      <c r="J37" s="650"/>
      <c r="K37" s="651"/>
    </row>
    <row r="38" spans="1:11" ht="15.75">
      <c r="A38" s="658" t="s">
        <v>549</v>
      </c>
      <c r="B38" s="659"/>
      <c r="C38" s="659"/>
      <c r="D38" s="659"/>
      <c r="E38" s="659"/>
      <c r="F38" s="659"/>
      <c r="G38" s="659"/>
      <c r="H38" s="659"/>
      <c r="I38" s="659"/>
      <c r="J38" s="659"/>
      <c r="K38" s="660"/>
    </row>
    <row r="39" spans="1:11" ht="15.75">
      <c r="A39" s="128"/>
      <c r="B39" s="127"/>
      <c r="C39" s="127"/>
      <c r="D39" s="127"/>
      <c r="E39" s="127"/>
      <c r="F39" s="127"/>
      <c r="G39" s="127"/>
      <c r="H39" s="127"/>
      <c r="I39" s="127"/>
      <c r="J39" s="127"/>
      <c r="K39" s="126"/>
    </row>
    <row r="40" spans="1:11" ht="46.5" customHeight="1">
      <c r="A40" s="671" t="s">
        <v>811</v>
      </c>
      <c r="B40" s="672"/>
      <c r="C40" s="672"/>
      <c r="D40" s="672"/>
      <c r="E40" s="672"/>
      <c r="F40" s="672"/>
      <c r="G40" s="672"/>
      <c r="H40" s="672"/>
      <c r="I40" s="672"/>
      <c r="J40" s="672"/>
      <c r="K40" s="673"/>
    </row>
    <row r="41" spans="1:11" ht="15.75">
      <c r="A41" s="125"/>
      <c r="B41" s="125"/>
      <c r="C41" s="125"/>
      <c r="D41" s="125"/>
      <c r="E41" s="125"/>
      <c r="F41" s="125"/>
      <c r="G41" s="125"/>
      <c r="H41" s="125"/>
      <c r="I41" s="125"/>
      <c r="J41" s="125"/>
      <c r="K41" s="125"/>
    </row>
  </sheetData>
  <sheetProtection password="C420" sheet="1" objects="1" scenarios="1"/>
  <mergeCells count="33">
    <mergeCell ref="A38:K38"/>
    <mergeCell ref="A40:K40"/>
    <mergeCell ref="A31:K31"/>
    <mergeCell ref="A32:K32"/>
    <mergeCell ref="A33:K33"/>
    <mergeCell ref="A34:K34"/>
    <mergeCell ref="A35:K35"/>
    <mergeCell ref="A36:K36"/>
    <mergeCell ref="A27:K27"/>
    <mergeCell ref="A28:K28"/>
    <mergeCell ref="A29:K29"/>
    <mergeCell ref="A30:K30"/>
    <mergeCell ref="A37:K37"/>
    <mergeCell ref="A22:K22"/>
    <mergeCell ref="A23:K23"/>
    <mergeCell ref="A24:K24"/>
    <mergeCell ref="A25:K25"/>
    <mergeCell ref="A26:K26"/>
    <mergeCell ref="A17:K17"/>
    <mergeCell ref="A18:K18"/>
    <mergeCell ref="A19:K19"/>
    <mergeCell ref="A20:K20"/>
    <mergeCell ref="A21:K21"/>
    <mergeCell ref="A12:K12"/>
    <mergeCell ref="A13:K13"/>
    <mergeCell ref="A14:K14"/>
    <mergeCell ref="A15:K15"/>
    <mergeCell ref="A16:K16"/>
    <mergeCell ref="C1:H1"/>
    <mergeCell ref="A2:K2"/>
    <mergeCell ref="A3:K3"/>
    <mergeCell ref="A9:K9"/>
    <mergeCell ref="A11:K11"/>
  </mergeCells>
  <hyperlinks>
    <hyperlink ref="A9" r:id="rId1" display="http://www.openoffice.org/"/>
  </hyperlinks>
  <pageMargins left="0.7" right="0.7" top="0.75" bottom="0.75" header="0.3" footer="0.3"/>
  <pageSetup scale="75"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5" tint="0.39997558519241921"/>
  </sheetPr>
  <dimension ref="A1:AB1265"/>
  <sheetViews>
    <sheetView showGridLines="0" tabSelected="1" zoomScale="110" zoomScaleNormal="110" workbookViewId="0">
      <selection activeCell="I27" sqref="I27"/>
    </sheetView>
  </sheetViews>
  <sheetFormatPr defaultColWidth="11.42578125" defaultRowHeight="12"/>
  <cols>
    <col min="1" max="1" width="21.28515625" style="138" customWidth="1"/>
    <col min="2" max="2" width="17" style="138" customWidth="1"/>
    <col min="3" max="3" width="1.7109375" style="138" customWidth="1"/>
    <col min="4" max="4" width="11.42578125" style="138" customWidth="1"/>
    <col min="5" max="5" width="14.5703125" style="138" customWidth="1"/>
    <col min="6" max="6" width="18.5703125" style="148" customWidth="1"/>
    <col min="7" max="7" width="5.140625" style="148" customWidth="1"/>
    <col min="8" max="8" width="20.7109375" style="138" customWidth="1"/>
    <col min="9" max="9" width="7.85546875" style="148" customWidth="1"/>
    <col min="10" max="10" width="19.85546875" style="138" customWidth="1"/>
    <col min="11" max="11" width="7.42578125" style="148" customWidth="1"/>
    <col min="12" max="12" width="4.42578125" style="138" customWidth="1"/>
    <col min="13" max="13" width="10.42578125" style="138" customWidth="1"/>
    <col min="14" max="14" width="25.85546875" style="138" customWidth="1"/>
    <col min="15" max="15" width="36.85546875" style="138" bestFit="1" customWidth="1"/>
    <col min="16" max="16" width="13.7109375" style="141" bestFit="1" customWidth="1"/>
    <col min="17" max="17" width="13.7109375" style="143" bestFit="1" customWidth="1"/>
    <col min="18" max="18" width="12.28515625" style="143" bestFit="1" customWidth="1"/>
    <col min="19" max="19" width="14.85546875" style="143" customWidth="1"/>
    <col min="20" max="26" width="13.28515625" style="140" customWidth="1"/>
    <col min="27" max="28" width="13.28515625" style="141" customWidth="1"/>
    <col min="29" max="189" width="13.28515625" style="138" customWidth="1"/>
    <col min="190" max="16384" width="11.42578125" style="138"/>
  </cols>
  <sheetData>
    <row r="1" spans="1:28" ht="26.25" customHeight="1">
      <c r="A1" s="173"/>
      <c r="B1" s="685" t="s">
        <v>423</v>
      </c>
      <c r="C1" s="685"/>
      <c r="D1" s="685"/>
      <c r="E1" s="685"/>
      <c r="F1" s="685"/>
      <c r="G1" s="685"/>
      <c r="H1" s="685"/>
      <c r="I1" s="446" t="s">
        <v>421</v>
      </c>
      <c r="J1" s="447">
        <f>IF(ISBLANK(I6),"",I6)</f>
        <v>2345</v>
      </c>
      <c r="K1" s="174"/>
      <c r="L1" s="137"/>
      <c r="O1" s="139"/>
      <c r="P1" s="139"/>
      <c r="Q1" s="139"/>
      <c r="R1" s="139"/>
      <c r="S1" s="139"/>
    </row>
    <row r="2" spans="1:28" s="137" customFormat="1" ht="17.25" customHeight="1">
      <c r="A2" s="175"/>
      <c r="B2" s="175"/>
      <c r="C2" s="175"/>
      <c r="D2" s="175"/>
      <c r="E2" s="175"/>
      <c r="F2" s="175"/>
      <c r="G2" s="175"/>
      <c r="H2" s="175"/>
      <c r="I2" s="175"/>
      <c r="J2" s="175"/>
      <c r="K2" s="175"/>
      <c r="Q2" s="142"/>
      <c r="R2" s="143"/>
      <c r="S2" s="143"/>
      <c r="T2" s="144"/>
      <c r="U2" s="144"/>
      <c r="V2" s="144"/>
      <c r="W2" s="144"/>
      <c r="X2" s="144"/>
      <c r="Y2" s="144"/>
      <c r="Z2" s="144"/>
      <c r="AA2" s="145"/>
      <c r="AB2" s="145"/>
    </row>
    <row r="3" spans="1:28" s="137" customFormat="1" ht="6" customHeight="1">
      <c r="A3" s="175"/>
      <c r="B3" s="175"/>
      <c r="C3" s="175"/>
      <c r="D3" s="175"/>
      <c r="E3" s="175"/>
      <c r="F3" s="175"/>
      <c r="G3" s="175"/>
      <c r="H3" s="175"/>
      <c r="I3" s="175"/>
      <c r="J3" s="175"/>
      <c r="K3" s="175"/>
      <c r="Q3" s="144"/>
      <c r="R3" s="144"/>
      <c r="S3" s="144"/>
      <c r="T3" s="144"/>
      <c r="U3" s="144"/>
      <c r="V3" s="144"/>
      <c r="W3" s="144"/>
      <c r="X3" s="144"/>
      <c r="Y3" s="144"/>
      <c r="Z3" s="144"/>
      <c r="AA3" s="145"/>
      <c r="AB3" s="145"/>
    </row>
    <row r="4" spans="1:28" s="137" customFormat="1" ht="17.25" customHeight="1">
      <c r="A4" s="176" t="s">
        <v>351</v>
      </c>
      <c r="B4" s="690"/>
      <c r="C4" s="691"/>
      <c r="D4" s="691"/>
      <c r="E4" s="691"/>
      <c r="F4" s="692"/>
      <c r="G4" s="175"/>
      <c r="H4" s="177" t="s">
        <v>501</v>
      </c>
      <c r="I4" s="707"/>
      <c r="J4" s="708"/>
      <c r="K4" s="709"/>
      <c r="R4" s="142"/>
      <c r="S4" s="142"/>
      <c r="T4" s="144"/>
      <c r="U4" s="144"/>
      <c r="V4" s="144"/>
      <c r="W4" s="144"/>
      <c r="X4" s="144"/>
      <c r="Y4" s="144"/>
      <c r="Z4" s="144"/>
      <c r="AA4" s="145"/>
      <c r="AB4" s="145"/>
    </row>
    <row r="5" spans="1:28" ht="9" customHeight="1">
      <c r="A5" s="175"/>
      <c r="B5" s="175"/>
      <c r="C5" s="175"/>
      <c r="D5" s="175"/>
      <c r="E5" s="175"/>
      <c r="F5" s="175"/>
      <c r="G5" s="175"/>
      <c r="H5" s="178"/>
      <c r="I5" s="175"/>
      <c r="J5" s="175"/>
      <c r="K5" s="175"/>
      <c r="L5" s="137"/>
      <c r="M5" s="137"/>
      <c r="N5" s="137"/>
      <c r="O5" s="137"/>
      <c r="P5" s="137"/>
    </row>
    <row r="6" spans="1:28" ht="17.25" customHeight="1">
      <c r="A6" s="179" t="s">
        <v>493</v>
      </c>
      <c r="B6" s="712"/>
      <c r="C6" s="713"/>
      <c r="D6" s="713"/>
      <c r="E6" s="713"/>
      <c r="F6" s="714"/>
      <c r="G6" s="175"/>
      <c r="H6" s="180" t="s">
        <v>422</v>
      </c>
      <c r="I6" s="712">
        <v>2345</v>
      </c>
      <c r="J6" s="713"/>
      <c r="K6" s="714"/>
      <c r="L6" s="137"/>
      <c r="M6" s="137"/>
      <c r="N6" s="137"/>
      <c r="O6" s="137"/>
      <c r="P6" s="137"/>
    </row>
    <row r="7" spans="1:28" ht="9" customHeight="1">
      <c r="A7" s="175"/>
      <c r="B7" s="175"/>
      <c r="C7" s="175"/>
      <c r="D7" s="175"/>
      <c r="E7" s="175"/>
      <c r="F7" s="175"/>
      <c r="G7" s="175"/>
      <c r="H7" s="178"/>
      <c r="I7" s="175"/>
      <c r="J7" s="175"/>
      <c r="K7" s="175"/>
      <c r="L7" s="137"/>
      <c r="M7" s="137"/>
      <c r="N7" s="137"/>
      <c r="O7" s="137"/>
      <c r="P7" s="137"/>
    </row>
    <row r="8" spans="1:28" s="137" customFormat="1" ht="19.5" customHeight="1">
      <c r="A8" s="181" t="s">
        <v>350</v>
      </c>
      <c r="B8" s="627"/>
      <c r="C8" s="628"/>
      <c r="D8" s="630" t="s">
        <v>349</v>
      </c>
      <c r="E8" s="715"/>
      <c r="F8" s="716"/>
      <c r="G8" s="183"/>
      <c r="H8" s="706" t="s">
        <v>826</v>
      </c>
      <c r="I8" s="697"/>
      <c r="J8" s="698"/>
      <c r="K8" s="699"/>
      <c r="Q8" s="142"/>
      <c r="R8" s="142"/>
      <c r="S8" s="142"/>
      <c r="T8" s="144"/>
      <c r="U8" s="144"/>
      <c r="V8" s="144"/>
      <c r="W8" s="144"/>
      <c r="X8" s="144"/>
      <c r="Y8" s="147"/>
      <c r="Z8" s="144"/>
      <c r="AA8" s="145"/>
      <c r="AB8" s="145"/>
    </row>
    <row r="9" spans="1:28" s="137" customFormat="1" ht="0.75" customHeight="1">
      <c r="A9" s="185"/>
      <c r="B9" s="185"/>
      <c r="C9" s="185"/>
      <c r="D9" s="185"/>
      <c r="E9" s="717"/>
      <c r="F9" s="718"/>
      <c r="G9" s="185"/>
      <c r="H9" s="706"/>
      <c r="I9" s="185"/>
      <c r="J9" s="185"/>
      <c r="K9" s="186"/>
      <c r="L9" s="138"/>
      <c r="M9" s="138"/>
      <c r="N9" s="138"/>
      <c r="O9" s="138"/>
      <c r="P9" s="141"/>
      <c r="Q9" s="142"/>
      <c r="R9" s="142"/>
      <c r="S9" s="142"/>
      <c r="T9" s="144"/>
      <c r="U9" s="144"/>
      <c r="V9" s="144"/>
      <c r="W9" s="144"/>
      <c r="X9" s="144"/>
      <c r="Y9" s="147"/>
      <c r="Z9" s="144"/>
      <c r="AA9" s="145"/>
      <c r="AB9" s="145"/>
    </row>
    <row r="10" spans="1:28" s="137" customFormat="1" ht="6" customHeight="1">
      <c r="A10" s="175"/>
      <c r="B10" s="175"/>
      <c r="C10" s="184"/>
      <c r="D10" s="184"/>
      <c r="E10" s="175"/>
      <c r="F10" s="175"/>
      <c r="G10" s="175"/>
      <c r="H10" s="706"/>
      <c r="I10" s="175"/>
      <c r="J10" s="175"/>
      <c r="K10" s="175"/>
      <c r="Q10" s="149"/>
      <c r="R10" s="149"/>
      <c r="S10" s="142"/>
      <c r="T10" s="144"/>
      <c r="U10" s="144"/>
      <c r="V10" s="144"/>
      <c r="W10" s="144"/>
      <c r="X10" s="144"/>
      <c r="Y10" s="144"/>
      <c r="Z10" s="144"/>
      <c r="AA10" s="145"/>
      <c r="AB10" s="145"/>
    </row>
    <row r="11" spans="1:28" s="137" customFormat="1" ht="18.75" customHeight="1">
      <c r="A11" s="187" t="s">
        <v>827</v>
      </c>
      <c r="B11" s="703"/>
      <c r="C11" s="704"/>
      <c r="D11" s="704"/>
      <c r="E11" s="704"/>
      <c r="F11" s="705"/>
      <c r="G11" s="175"/>
      <c r="H11" s="706"/>
      <c r="I11" s="703"/>
      <c r="J11" s="704"/>
      <c r="K11" s="705"/>
      <c r="Q11" s="149"/>
      <c r="R11" s="149"/>
      <c r="S11" s="142"/>
      <c r="T11" s="144"/>
      <c r="U11" s="144"/>
      <c r="V11" s="144"/>
      <c r="W11" s="144"/>
      <c r="X11" s="144"/>
      <c r="Y11" s="144"/>
      <c r="Z11" s="144"/>
      <c r="AA11" s="145"/>
      <c r="AB11" s="145"/>
    </row>
    <row r="12" spans="1:28" s="137" customFormat="1" ht="6.75" customHeight="1">
      <c r="A12" s="175"/>
      <c r="B12" s="175"/>
      <c r="C12" s="184"/>
      <c r="D12" s="184"/>
      <c r="E12" s="175"/>
      <c r="F12" s="175"/>
      <c r="G12" s="175"/>
      <c r="H12" s="175"/>
      <c r="I12" s="175"/>
      <c r="J12" s="175"/>
      <c r="K12" s="175"/>
      <c r="Q12" s="149"/>
      <c r="R12" s="149"/>
      <c r="S12" s="142"/>
      <c r="T12" s="144"/>
      <c r="U12" s="144"/>
      <c r="V12" s="144"/>
      <c r="W12" s="144"/>
      <c r="X12" s="144"/>
      <c r="Y12" s="144"/>
      <c r="Z12" s="144"/>
      <c r="AA12" s="145"/>
      <c r="AB12" s="145"/>
    </row>
    <row r="13" spans="1:28" s="137" customFormat="1" ht="17.25" customHeight="1">
      <c r="A13" s="187" t="s">
        <v>828</v>
      </c>
      <c r="B13" s="697"/>
      <c r="C13" s="698"/>
      <c r="D13" s="698"/>
      <c r="E13" s="699"/>
      <c r="F13" s="188" t="s">
        <v>452</v>
      </c>
      <c r="G13" s="686">
        <v>45678</v>
      </c>
      <c r="H13" s="687"/>
      <c r="I13" s="188" t="s">
        <v>348</v>
      </c>
      <c r="J13" s="710"/>
      <c r="K13" s="711"/>
      <c r="Q13" s="149"/>
      <c r="R13" s="149"/>
      <c r="S13" s="142"/>
      <c r="T13" s="144"/>
      <c r="U13" s="144"/>
      <c r="V13" s="144"/>
      <c r="W13" s="144"/>
      <c r="X13" s="144"/>
      <c r="Y13" s="144"/>
      <c r="Z13" s="144"/>
      <c r="AA13" s="145"/>
      <c r="AB13" s="145"/>
    </row>
    <row r="14" spans="1:28" s="137" customFormat="1" ht="27" customHeight="1">
      <c r="A14" s="175"/>
      <c r="B14" s="175"/>
      <c r="C14" s="175"/>
      <c r="D14" s="175"/>
      <c r="E14" s="175"/>
      <c r="F14" s="189"/>
      <c r="G14" s="189"/>
      <c r="H14" s="190"/>
      <c r="I14" s="188"/>
      <c r="J14" s="184"/>
      <c r="K14" s="189"/>
      <c r="L14" s="145"/>
      <c r="M14" s="145"/>
      <c r="N14" s="150"/>
      <c r="O14" s="152"/>
      <c r="P14" s="147"/>
      <c r="Q14" s="153"/>
      <c r="R14" s="142"/>
      <c r="S14" s="142"/>
      <c r="T14" s="154"/>
      <c r="U14" s="144"/>
      <c r="V14" s="144"/>
      <c r="W14" s="144"/>
      <c r="X14" s="144"/>
      <c r="Y14" s="144"/>
      <c r="Z14" s="144"/>
      <c r="AA14" s="145"/>
      <c r="AB14" s="145"/>
    </row>
    <row r="15" spans="1:28" s="137" customFormat="1" ht="15" customHeight="1">
      <c r="A15" s="700" t="s">
        <v>347</v>
      </c>
      <c r="B15" s="701"/>
      <c r="C15" s="701"/>
      <c r="D15" s="701"/>
      <c r="E15" s="701"/>
      <c r="F15" s="191"/>
      <c r="G15" s="191"/>
      <c r="H15" s="192"/>
      <c r="I15" s="193"/>
      <c r="J15" s="194"/>
      <c r="K15" s="195"/>
      <c r="L15" s="145"/>
      <c r="M15" s="145"/>
      <c r="N15" s="150"/>
      <c r="O15" s="152"/>
      <c r="P15" s="147"/>
      <c r="Q15" s="153"/>
      <c r="R15" s="142"/>
      <c r="S15" s="142"/>
      <c r="T15" s="154"/>
      <c r="U15" s="144"/>
      <c r="V15" s="144"/>
      <c r="W15" s="144"/>
      <c r="X15" s="144"/>
      <c r="Y15" s="144"/>
      <c r="Z15" s="144"/>
      <c r="AA15" s="145"/>
      <c r="AB15" s="145"/>
    </row>
    <row r="16" spans="1:28" s="137" customFormat="1" ht="11.25" customHeight="1">
      <c r="A16" s="190"/>
      <c r="B16" s="184"/>
      <c r="C16" s="184"/>
      <c r="D16" s="184"/>
      <c r="E16" s="184"/>
      <c r="F16" s="189"/>
      <c r="G16" s="189"/>
      <c r="H16" s="190"/>
      <c r="I16" s="188"/>
      <c r="J16" s="184"/>
      <c r="K16" s="189"/>
      <c r="L16" s="145"/>
      <c r="M16" s="145"/>
      <c r="N16" s="150"/>
      <c r="O16" s="152"/>
      <c r="P16" s="147"/>
      <c r="Q16" s="153"/>
      <c r="R16" s="142"/>
      <c r="S16" s="142"/>
      <c r="T16" s="154"/>
      <c r="U16" s="144"/>
      <c r="V16" s="144"/>
      <c r="W16" s="144"/>
      <c r="X16" s="144"/>
      <c r="Y16" s="144"/>
      <c r="Z16" s="144"/>
      <c r="AA16" s="145"/>
      <c r="AB16" s="145"/>
    </row>
    <row r="17" spans="1:28" s="137" customFormat="1" ht="18" customHeight="1">
      <c r="A17" s="175"/>
      <c r="B17" s="175"/>
      <c r="C17" s="189"/>
      <c r="D17" s="621"/>
      <c r="E17" s="178"/>
      <c r="F17" s="196"/>
      <c r="G17" s="196"/>
      <c r="H17" s="175"/>
      <c r="I17" s="197"/>
      <c r="J17" s="178"/>
      <c r="K17" s="196"/>
      <c r="M17" s="151"/>
      <c r="N17" s="156"/>
      <c r="O17" s="157"/>
      <c r="P17" s="144"/>
      <c r="Q17" s="158"/>
      <c r="R17" s="158"/>
      <c r="S17" s="158"/>
      <c r="T17" s="159"/>
      <c r="U17" s="144"/>
      <c r="V17" s="144"/>
      <c r="W17" s="144"/>
      <c r="X17" s="144"/>
      <c r="Y17" s="144"/>
      <c r="Z17" s="144"/>
      <c r="AA17" s="145"/>
      <c r="AB17" s="145"/>
    </row>
    <row r="18" spans="1:28" s="137" customFormat="1" ht="18" customHeight="1">
      <c r="A18" s="198" t="s">
        <v>346</v>
      </c>
      <c r="B18" s="175"/>
      <c r="C18" s="189"/>
      <c r="D18" s="621"/>
      <c r="E18" s="199"/>
      <c r="F18" s="196"/>
      <c r="G18" s="196"/>
      <c r="H18" s="200"/>
      <c r="I18" s="189"/>
      <c r="J18" s="199"/>
      <c r="K18" s="200"/>
      <c r="L18" s="160"/>
      <c r="M18" s="151"/>
      <c r="N18" s="156"/>
      <c r="O18" s="157"/>
      <c r="P18" s="144"/>
      <c r="Q18" s="158"/>
      <c r="R18" s="158"/>
      <c r="S18" s="158"/>
      <c r="T18" s="159"/>
      <c r="U18" s="144"/>
      <c r="V18" s="144"/>
      <c r="W18" s="144"/>
      <c r="X18" s="144"/>
      <c r="Y18" s="144"/>
      <c r="Z18" s="144"/>
      <c r="AA18" s="145"/>
      <c r="AB18" s="145"/>
    </row>
    <row r="19" spans="1:28" s="137" customFormat="1" ht="30.75" customHeight="1">
      <c r="A19" s="187"/>
      <c r="B19" s="175"/>
      <c r="C19" s="175"/>
      <c r="D19" s="175"/>
      <c r="E19" s="190"/>
      <c r="F19" s="196"/>
      <c r="G19" s="196"/>
      <c r="H19" s="201"/>
      <c r="I19" s="189"/>
      <c r="J19" s="190"/>
      <c r="K19" s="196"/>
      <c r="L19" s="152"/>
      <c r="M19" s="152"/>
      <c r="N19" s="151"/>
      <c r="O19" s="147"/>
      <c r="P19" s="147"/>
      <c r="Q19" s="158"/>
      <c r="R19" s="158"/>
      <c r="S19" s="158"/>
      <c r="T19" s="158"/>
      <c r="U19" s="144"/>
      <c r="V19" s="144"/>
      <c r="W19" s="144"/>
      <c r="X19" s="144"/>
      <c r="Y19" s="144"/>
      <c r="Z19" s="144"/>
      <c r="AA19" s="145"/>
      <c r="AB19" s="145"/>
    </row>
    <row r="20" spans="1:28" s="137" customFormat="1" ht="18" customHeight="1">
      <c r="A20" s="700" t="s">
        <v>531</v>
      </c>
      <c r="B20" s="701"/>
      <c r="C20" s="701"/>
      <c r="D20" s="701"/>
      <c r="E20" s="701"/>
      <c r="F20" s="194"/>
      <c r="G20" s="194"/>
      <c r="H20" s="194"/>
      <c r="I20" s="194"/>
      <c r="J20" s="194"/>
      <c r="K20" s="202"/>
      <c r="M20" s="152"/>
      <c r="N20" s="151"/>
      <c r="O20" s="147"/>
      <c r="P20" s="147"/>
      <c r="Q20" s="158"/>
      <c r="R20" s="158"/>
      <c r="S20" s="158"/>
      <c r="T20" s="158"/>
      <c r="U20" s="144"/>
      <c r="V20" s="144"/>
      <c r="W20" s="144"/>
      <c r="X20" s="144"/>
      <c r="Y20" s="144"/>
      <c r="Z20" s="144"/>
      <c r="AA20" s="145"/>
      <c r="AB20" s="145"/>
    </row>
    <row r="21" spans="1:28" s="137" customFormat="1" ht="9" customHeight="1">
      <c r="A21" s="175"/>
      <c r="B21" s="175"/>
      <c r="C21" s="175"/>
      <c r="D21" s="175"/>
      <c r="E21" s="175"/>
      <c r="F21" s="175"/>
      <c r="G21" s="175"/>
      <c r="H21" s="175"/>
      <c r="I21" s="175"/>
      <c r="J21" s="175"/>
      <c r="K21" s="175"/>
      <c r="M21" s="152"/>
      <c r="N21" s="151"/>
      <c r="O21" s="147"/>
      <c r="P21" s="147"/>
      <c r="Q21" s="158"/>
      <c r="R21" s="158"/>
      <c r="S21" s="158"/>
      <c r="T21" s="158"/>
      <c r="U21" s="144"/>
      <c r="V21" s="144"/>
      <c r="W21" s="144"/>
      <c r="X21" s="144"/>
      <c r="Y21" s="144"/>
      <c r="Z21" s="144"/>
      <c r="AA21" s="145"/>
      <c r="AB21" s="145"/>
    </row>
    <row r="22" spans="1:28" s="137" customFormat="1" ht="16.5" customHeight="1">
      <c r="A22" s="516"/>
      <c r="B22" s="520" t="s">
        <v>801</v>
      </c>
      <c r="C22" s="175"/>
      <c r="D22" s="175"/>
      <c r="E22" s="516"/>
      <c r="F22" s="175"/>
      <c r="G22" s="175"/>
      <c r="H22" s="175"/>
      <c r="I22" s="175"/>
      <c r="J22" s="175"/>
      <c r="K22" s="175"/>
      <c r="M22" s="152"/>
      <c r="N22" s="151"/>
      <c r="O22" s="147"/>
      <c r="P22" s="147"/>
      <c r="Q22" s="158"/>
      <c r="R22" s="158"/>
      <c r="S22" s="158"/>
      <c r="T22" s="158"/>
      <c r="U22" s="144"/>
      <c r="V22" s="144"/>
      <c r="W22" s="144"/>
      <c r="X22" s="144"/>
      <c r="Y22" s="144"/>
      <c r="Z22" s="144"/>
      <c r="AA22" s="145"/>
      <c r="AB22" s="145"/>
    </row>
    <row r="23" spans="1:28" s="137" customFormat="1" ht="18.75" customHeight="1">
      <c r="A23" s="175"/>
      <c r="B23" s="175"/>
      <c r="C23" s="175"/>
      <c r="D23" s="175"/>
      <c r="E23" s="175"/>
      <c r="F23" s="175"/>
      <c r="G23" s="175"/>
      <c r="H23" s="175"/>
      <c r="I23" s="175"/>
      <c r="J23" s="175"/>
      <c r="K23" s="175"/>
      <c r="M23" s="152"/>
      <c r="N23" s="151"/>
      <c r="O23" s="147"/>
      <c r="P23" s="147"/>
      <c r="Q23" s="158"/>
      <c r="R23" s="158"/>
      <c r="S23" s="158"/>
      <c r="T23" s="158"/>
      <c r="U23" s="144"/>
      <c r="V23" s="144"/>
      <c r="W23" s="144"/>
      <c r="X23" s="144"/>
      <c r="Y23" s="144"/>
      <c r="Z23" s="144"/>
      <c r="AA23" s="145"/>
      <c r="AB23" s="145"/>
    </row>
    <row r="24" spans="1:28" s="137" customFormat="1" ht="16.5" customHeight="1">
      <c r="A24" s="679" t="s">
        <v>578</v>
      </c>
      <c r="B24" s="679"/>
      <c r="C24" s="629"/>
      <c r="D24" s="203"/>
      <c r="E24" s="182">
        <v>3</v>
      </c>
      <c r="F24" s="688" t="s">
        <v>424</v>
      </c>
      <c r="G24" s="689"/>
      <c r="H24" s="689"/>
      <c r="I24" s="175"/>
      <c r="J24" s="175"/>
      <c r="K24" s="175"/>
      <c r="M24" s="152"/>
      <c r="N24" s="151"/>
      <c r="O24" s="147"/>
      <c r="P24" s="147"/>
      <c r="Q24" s="158"/>
      <c r="R24" s="158"/>
      <c r="S24" s="158"/>
      <c r="T24" s="158"/>
      <c r="U24" s="144"/>
      <c r="V24" s="144"/>
      <c r="W24" s="144"/>
      <c r="X24" s="144"/>
      <c r="Y24" s="144"/>
      <c r="Z24" s="144"/>
      <c r="AA24" s="145"/>
      <c r="AB24" s="145"/>
    </row>
    <row r="25" spans="1:28" s="137" customFormat="1" ht="6.75" customHeight="1">
      <c r="A25" s="175"/>
      <c r="B25" s="175"/>
      <c r="C25" s="175"/>
      <c r="D25" s="175"/>
      <c r="E25" s="175"/>
      <c r="F25" s="175"/>
      <c r="G25" s="175"/>
      <c r="H25" s="175"/>
      <c r="I25" s="175"/>
      <c r="J25" s="175"/>
      <c r="K25" s="175"/>
      <c r="M25" s="152"/>
      <c r="N25" s="151"/>
      <c r="O25" s="147"/>
      <c r="P25" s="147"/>
      <c r="Q25" s="158"/>
      <c r="R25" s="158"/>
      <c r="S25" s="158"/>
      <c r="T25" s="158"/>
      <c r="U25" s="144"/>
      <c r="V25" s="144"/>
      <c r="W25" s="144"/>
      <c r="X25" s="144"/>
      <c r="Y25" s="144"/>
      <c r="Z25" s="144"/>
      <c r="AA25" s="145"/>
      <c r="AB25" s="145"/>
    </row>
    <row r="26" spans="1:28" s="137" customFormat="1" ht="15.75" customHeight="1">
      <c r="A26" s="680" t="s">
        <v>345</v>
      </c>
      <c r="B26" s="680"/>
      <c r="C26" s="201"/>
      <c r="D26" s="620"/>
      <c r="E26" s="182">
        <v>450</v>
      </c>
      <c r="F26" s="178" t="s">
        <v>579</v>
      </c>
      <c r="G26" s="175"/>
      <c r="H26" s="175"/>
      <c r="I26" s="175"/>
      <c r="J26" s="175"/>
      <c r="K26" s="175"/>
      <c r="M26" s="152"/>
      <c r="N26" s="151"/>
      <c r="O26" s="147"/>
      <c r="P26" s="147"/>
      <c r="Q26" s="158"/>
      <c r="R26" s="158"/>
      <c r="S26" s="158"/>
      <c r="T26" s="158"/>
      <c r="U26" s="144"/>
      <c r="V26" s="144"/>
      <c r="W26" s="144"/>
      <c r="X26" s="144"/>
      <c r="Y26" s="144"/>
      <c r="Z26" s="144"/>
      <c r="AA26" s="145"/>
      <c r="AB26" s="145"/>
    </row>
    <row r="27" spans="1:28" s="137" customFormat="1" ht="7.5" customHeight="1">
      <c r="A27" s="175"/>
      <c r="B27" s="175"/>
      <c r="C27" s="175"/>
      <c r="D27" s="175"/>
      <c r="E27" s="175"/>
      <c r="F27" s="175"/>
      <c r="G27" s="175"/>
      <c r="H27" s="175"/>
      <c r="I27" s="175"/>
      <c r="J27" s="175"/>
      <c r="K27" s="175"/>
      <c r="M27" s="152"/>
      <c r="N27" s="151"/>
      <c r="O27" s="147"/>
      <c r="P27" s="147"/>
      <c r="Q27" s="158"/>
      <c r="R27" s="158"/>
      <c r="S27" s="158"/>
      <c r="T27" s="158"/>
      <c r="U27" s="144"/>
      <c r="V27" s="144"/>
      <c r="W27" s="144"/>
      <c r="X27" s="144"/>
      <c r="Y27" s="144"/>
      <c r="Z27" s="144"/>
      <c r="AA27" s="145"/>
      <c r="AB27" s="145"/>
    </row>
    <row r="28" spans="1:28" s="137" customFormat="1" ht="15.75" customHeight="1">
      <c r="A28" s="679" t="s">
        <v>344</v>
      </c>
      <c r="B28" s="679"/>
      <c r="C28" s="201"/>
      <c r="D28" s="620"/>
      <c r="E28" s="182">
        <v>50</v>
      </c>
      <c r="F28" s="178" t="s">
        <v>128</v>
      </c>
      <c r="G28" s="196"/>
      <c r="H28" s="201"/>
      <c r="I28" s="189"/>
      <c r="J28" s="190"/>
      <c r="K28" s="196"/>
      <c r="L28" s="152"/>
      <c r="M28" s="152"/>
      <c r="N28" s="151"/>
      <c r="O28" s="147"/>
      <c r="P28" s="147"/>
      <c r="Q28" s="158"/>
      <c r="R28" s="158"/>
      <c r="S28" s="142"/>
      <c r="T28" s="158"/>
      <c r="U28" s="144"/>
      <c r="V28" s="144"/>
      <c r="W28" s="144"/>
      <c r="X28" s="144"/>
      <c r="Y28" s="144"/>
      <c r="Z28" s="144"/>
      <c r="AA28" s="145"/>
      <c r="AB28" s="145"/>
    </row>
    <row r="29" spans="1:28" s="137" customFormat="1" ht="6" customHeight="1">
      <c r="A29" s="204"/>
      <c r="B29" s="204"/>
      <c r="C29" s="204"/>
      <c r="D29" s="204"/>
      <c r="E29" s="204"/>
      <c r="F29" s="196"/>
      <c r="G29" s="196"/>
      <c r="H29" s="201"/>
      <c r="I29" s="189"/>
      <c r="J29" s="190"/>
      <c r="K29" s="196"/>
      <c r="L29" s="152"/>
      <c r="M29" s="152"/>
      <c r="N29" s="151"/>
      <c r="O29" s="147"/>
      <c r="P29" s="147"/>
      <c r="Q29" s="158"/>
      <c r="R29" s="158"/>
      <c r="S29" s="142"/>
      <c r="T29" s="158"/>
      <c r="U29" s="144"/>
      <c r="V29" s="144"/>
      <c r="W29" s="144"/>
      <c r="X29" s="144"/>
      <c r="Y29" s="144"/>
      <c r="Z29" s="144"/>
      <c r="AA29" s="145"/>
      <c r="AB29" s="145"/>
    </row>
    <row r="30" spans="1:28" s="137" customFormat="1" ht="15.75" customHeight="1">
      <c r="A30" s="679" t="s">
        <v>425</v>
      </c>
      <c r="B30" s="679"/>
      <c r="C30" s="175"/>
      <c r="D30" s="175"/>
      <c r="E30" s="175"/>
      <c r="F30" s="175"/>
      <c r="G30" s="175"/>
      <c r="H30" s="175"/>
      <c r="I30" s="196"/>
      <c r="J30" s="175"/>
      <c r="K30" s="196"/>
      <c r="L30" s="146"/>
      <c r="M30" s="152"/>
      <c r="N30" s="151"/>
      <c r="O30" s="147"/>
      <c r="P30" s="147"/>
      <c r="Q30" s="158"/>
      <c r="R30" s="158"/>
      <c r="S30" s="142"/>
      <c r="T30" s="158"/>
      <c r="U30" s="144"/>
      <c r="V30" s="144"/>
      <c r="W30" s="144"/>
      <c r="X30" s="144"/>
      <c r="Y30" s="144"/>
      <c r="Z30" s="144"/>
      <c r="AA30" s="145"/>
      <c r="AB30" s="145"/>
    </row>
    <row r="31" spans="1:28" s="137" customFormat="1" ht="15.75">
      <c r="A31" s="702" t="s">
        <v>346</v>
      </c>
      <c r="B31" s="702"/>
      <c r="C31" s="190"/>
      <c r="D31" s="619"/>
      <c r="E31" s="175"/>
      <c r="F31" s="175"/>
      <c r="J31" s="201"/>
      <c r="K31" s="175"/>
      <c r="P31" s="145"/>
      <c r="Q31" s="142"/>
      <c r="R31" s="142"/>
      <c r="S31" s="142"/>
      <c r="T31" s="158"/>
      <c r="U31" s="144"/>
      <c r="V31" s="144"/>
      <c r="W31" s="144"/>
      <c r="X31" s="144"/>
      <c r="Y31" s="144"/>
      <c r="Z31" s="144"/>
      <c r="AA31" s="145"/>
      <c r="AB31" s="145"/>
    </row>
    <row r="32" spans="1:28" s="137" customFormat="1" ht="13.5" customHeight="1">
      <c r="A32" s="190"/>
      <c r="B32" s="190"/>
      <c r="C32" s="190"/>
      <c r="D32" s="619"/>
      <c r="E32" s="175"/>
      <c r="F32" s="175"/>
      <c r="G32" s="205"/>
      <c r="H32" s="206"/>
      <c r="I32" s="206"/>
      <c r="J32" s="206"/>
      <c r="K32" s="206"/>
      <c r="S32" s="158"/>
      <c r="T32" s="158"/>
      <c r="U32" s="144"/>
      <c r="V32" s="144"/>
      <c r="W32" s="144"/>
      <c r="X32" s="144"/>
      <c r="Y32" s="144"/>
      <c r="Z32" s="144"/>
      <c r="AA32" s="145"/>
      <c r="AB32" s="145"/>
    </row>
    <row r="33" spans="1:28" s="137" customFormat="1" ht="12.75" customHeight="1">
      <c r="A33" s="175"/>
      <c r="B33" s="175"/>
      <c r="C33" s="175"/>
      <c r="D33" s="175"/>
      <c r="E33" s="175" t="s">
        <v>426</v>
      </c>
      <c r="F33" s="175"/>
      <c r="G33" s="178"/>
      <c r="H33" s="206"/>
      <c r="I33" s="206"/>
      <c r="J33" s="206"/>
      <c r="K33" s="206"/>
      <c r="L33" s="146"/>
      <c r="M33" s="146"/>
      <c r="S33" s="158"/>
      <c r="T33" s="158"/>
      <c r="U33" s="144"/>
      <c r="V33" s="144"/>
      <c r="W33" s="144"/>
      <c r="X33" s="144"/>
      <c r="Y33" s="144"/>
      <c r="Z33" s="144"/>
      <c r="AA33" s="145"/>
      <c r="AB33" s="145"/>
    </row>
    <row r="34" spans="1:28" s="137" customFormat="1" ht="12.75" customHeight="1">
      <c r="A34" s="190"/>
      <c r="B34" s="190"/>
      <c r="C34" s="190"/>
      <c r="D34" s="619"/>
      <c r="E34" s="703"/>
      <c r="F34" s="704"/>
      <c r="G34" s="704"/>
      <c r="H34" s="704"/>
      <c r="I34" s="705"/>
      <c r="J34" s="206"/>
      <c r="K34" s="206"/>
      <c r="S34" s="158"/>
      <c r="T34" s="158"/>
      <c r="U34" s="144"/>
      <c r="V34" s="144"/>
      <c r="W34" s="144"/>
      <c r="X34" s="144"/>
      <c r="Y34" s="144"/>
      <c r="Z34" s="144"/>
      <c r="AA34" s="145"/>
      <c r="AB34" s="145"/>
    </row>
    <row r="35" spans="1:28" s="137" customFormat="1" ht="12.75" customHeight="1">
      <c r="A35" s="175"/>
      <c r="B35" s="175"/>
      <c r="C35" s="175"/>
      <c r="D35" s="175"/>
      <c r="E35" s="703"/>
      <c r="F35" s="704"/>
      <c r="G35" s="704"/>
      <c r="H35" s="704"/>
      <c r="I35" s="705"/>
      <c r="J35" s="206"/>
      <c r="K35" s="206"/>
      <c r="S35" s="158"/>
      <c r="T35" s="158"/>
      <c r="U35" s="144"/>
      <c r="V35" s="144"/>
      <c r="W35" s="144"/>
      <c r="X35" s="144"/>
      <c r="Y35" s="144"/>
      <c r="Z35" s="144"/>
      <c r="AA35" s="145"/>
      <c r="AB35" s="145"/>
    </row>
    <row r="36" spans="1:28" s="137" customFormat="1" ht="12.75" customHeight="1">
      <c r="A36" s="190"/>
      <c r="B36" s="190"/>
      <c r="C36" s="190"/>
      <c r="D36" s="619"/>
      <c r="E36" s="703"/>
      <c r="F36" s="704"/>
      <c r="G36" s="704"/>
      <c r="H36" s="704"/>
      <c r="I36" s="705"/>
      <c r="J36" s="206"/>
      <c r="K36" s="206"/>
      <c r="S36" s="142"/>
      <c r="T36" s="144"/>
      <c r="U36" s="144"/>
      <c r="V36" s="144"/>
      <c r="W36" s="144"/>
      <c r="X36" s="144"/>
      <c r="Y36" s="144"/>
      <c r="Z36" s="144"/>
      <c r="AA36" s="145"/>
      <c r="AB36" s="145"/>
    </row>
    <row r="37" spans="1:28" s="137" customFormat="1" ht="12.75" customHeight="1">
      <c r="A37" s="175"/>
      <c r="B37" s="175"/>
      <c r="C37" s="201"/>
      <c r="D37" s="620"/>
      <c r="E37" s="703"/>
      <c r="F37" s="704"/>
      <c r="G37" s="704"/>
      <c r="H37" s="704"/>
      <c r="I37" s="705"/>
      <c r="J37" s="206"/>
      <c r="K37" s="206"/>
      <c r="S37" s="142"/>
      <c r="T37" s="144"/>
      <c r="U37" s="144"/>
      <c r="V37" s="144"/>
      <c r="W37" s="144"/>
      <c r="X37" s="144"/>
      <c r="Y37" s="144"/>
      <c r="Z37" s="144"/>
      <c r="AA37" s="145"/>
      <c r="AB37" s="145"/>
    </row>
    <row r="38" spans="1:28" s="137" customFormat="1" ht="12.75" customHeight="1">
      <c r="A38" s="175"/>
      <c r="B38" s="175"/>
      <c r="C38" s="189"/>
      <c r="D38" s="621"/>
      <c r="E38" s="703"/>
      <c r="F38" s="704"/>
      <c r="G38" s="704"/>
      <c r="H38" s="704"/>
      <c r="I38" s="705"/>
      <c r="J38" s="206"/>
      <c r="K38" s="206"/>
      <c r="S38" s="142"/>
      <c r="T38" s="144"/>
      <c r="U38" s="144"/>
      <c r="V38" s="144"/>
      <c r="W38" s="144"/>
      <c r="X38" s="144"/>
      <c r="Y38" s="144"/>
      <c r="Z38" s="144"/>
      <c r="AA38" s="145"/>
      <c r="AB38" s="145"/>
    </row>
    <row r="39" spans="1:28" s="137" customFormat="1" ht="12.75" customHeight="1">
      <c r="A39" s="175"/>
      <c r="B39" s="175"/>
      <c r="C39" s="189"/>
      <c r="D39" s="621"/>
      <c r="E39" s="703"/>
      <c r="F39" s="704"/>
      <c r="G39" s="704"/>
      <c r="H39" s="704"/>
      <c r="I39" s="705"/>
      <c r="J39" s="206"/>
      <c r="K39" s="206"/>
      <c r="S39" s="142"/>
      <c r="T39" s="144"/>
      <c r="U39" s="144"/>
      <c r="V39" s="144"/>
      <c r="W39" s="144"/>
      <c r="X39" s="144"/>
      <c r="Y39" s="144"/>
      <c r="Z39" s="144"/>
      <c r="AA39" s="145"/>
      <c r="AB39" s="145"/>
    </row>
    <row r="40" spans="1:28" s="137" customFormat="1" ht="12.75" customHeight="1">
      <c r="A40" s="175"/>
      <c r="B40" s="175"/>
      <c r="C40" s="189"/>
      <c r="D40" s="621"/>
      <c r="E40" s="703"/>
      <c r="F40" s="704"/>
      <c r="G40" s="704"/>
      <c r="H40" s="704"/>
      <c r="I40" s="705"/>
      <c r="J40" s="206"/>
      <c r="K40" s="206"/>
      <c r="U40" s="144"/>
      <c r="V40" s="144"/>
      <c r="W40" s="144"/>
      <c r="X40" s="144"/>
      <c r="Y40" s="151"/>
      <c r="Z40" s="151"/>
      <c r="AA40" s="151"/>
      <c r="AB40" s="151"/>
    </row>
    <row r="41" spans="1:28" s="137" customFormat="1" ht="12.75" customHeight="1">
      <c r="A41" s="175"/>
      <c r="B41" s="175"/>
      <c r="C41" s="189"/>
      <c r="D41" s="621"/>
      <c r="E41" s="703"/>
      <c r="F41" s="704"/>
      <c r="G41" s="704"/>
      <c r="H41" s="704"/>
      <c r="I41" s="705"/>
      <c r="J41" s="206"/>
      <c r="K41" s="206"/>
      <c r="U41" s="144"/>
      <c r="V41" s="144"/>
      <c r="W41" s="144"/>
      <c r="X41" s="144"/>
      <c r="Y41" s="151"/>
      <c r="Z41" s="151"/>
      <c r="AA41" s="151"/>
      <c r="AB41" s="151"/>
    </row>
    <row r="42" spans="1:28" s="137" customFormat="1" ht="12" customHeight="1">
      <c r="A42" s="175"/>
      <c r="B42" s="175"/>
      <c r="C42" s="175"/>
      <c r="D42" s="175"/>
      <c r="E42" s="703"/>
      <c r="F42" s="704"/>
      <c r="G42" s="704"/>
      <c r="H42" s="704"/>
      <c r="I42" s="705"/>
      <c r="J42" s="175"/>
      <c r="K42" s="175"/>
      <c r="U42" s="144"/>
      <c r="V42" s="144"/>
      <c r="W42" s="144"/>
      <c r="X42" s="144"/>
      <c r="Y42" s="144"/>
      <c r="Z42" s="144"/>
      <c r="AA42" s="145"/>
      <c r="AB42" s="145"/>
    </row>
    <row r="43" spans="1:28" s="137" customFormat="1" ht="28.5" customHeight="1">
      <c r="A43" s="175"/>
      <c r="B43" s="175"/>
      <c r="C43" s="175"/>
      <c r="D43" s="175"/>
      <c r="E43" s="175"/>
      <c r="F43" s="175"/>
      <c r="G43" s="175"/>
      <c r="H43" s="175"/>
      <c r="I43" s="175"/>
      <c r="J43" s="175"/>
      <c r="K43" s="175"/>
      <c r="U43" s="144"/>
      <c r="V43" s="144"/>
      <c r="W43" s="144"/>
      <c r="X43" s="144"/>
      <c r="Y43" s="144"/>
      <c r="Z43" s="144"/>
      <c r="AA43" s="145"/>
      <c r="AB43" s="145"/>
    </row>
    <row r="44" spans="1:28" s="137" customFormat="1" ht="15" customHeight="1">
      <c r="A44" s="694" t="s">
        <v>532</v>
      </c>
      <c r="B44" s="695"/>
      <c r="C44" s="194"/>
      <c r="D44" s="194"/>
      <c r="E44" s="194"/>
      <c r="F44" s="194"/>
      <c r="G44" s="194"/>
      <c r="H44" s="194"/>
      <c r="I44" s="194"/>
      <c r="J44" s="194"/>
      <c r="K44" s="202"/>
      <c r="U44" s="144"/>
      <c r="V44" s="144"/>
      <c r="W44" s="144"/>
      <c r="X44" s="144"/>
      <c r="Y44" s="144"/>
      <c r="Z44" s="144"/>
      <c r="AA44" s="145"/>
      <c r="AB44" s="145"/>
    </row>
    <row r="45" spans="1:28" s="137" customFormat="1" ht="8.25" customHeight="1">
      <c r="A45" s="175"/>
      <c r="B45" s="175"/>
      <c r="C45" s="189"/>
      <c r="D45" s="621"/>
      <c r="E45" s="197"/>
      <c r="F45" s="189"/>
      <c r="G45" s="189"/>
      <c r="H45" s="197"/>
      <c r="I45" s="189"/>
      <c r="J45" s="184"/>
      <c r="K45" s="189"/>
      <c r="L45" s="145"/>
      <c r="M45" s="145"/>
      <c r="N45" s="145"/>
      <c r="P45" s="145"/>
      <c r="Q45" s="142"/>
      <c r="R45" s="142"/>
      <c r="S45" s="142"/>
      <c r="T45" s="144"/>
      <c r="U45" s="144"/>
      <c r="V45" s="144"/>
      <c r="W45" s="144"/>
      <c r="X45" s="144"/>
      <c r="Y45" s="144"/>
      <c r="Z45" s="144"/>
      <c r="AA45" s="145"/>
      <c r="AB45" s="145"/>
    </row>
    <row r="46" spans="1:28" s="137" customFormat="1" ht="7.5" customHeight="1">
      <c r="A46" s="175"/>
      <c r="B46" s="175"/>
      <c r="C46" s="184"/>
      <c r="D46" s="184"/>
      <c r="E46" s="197"/>
      <c r="F46" s="189"/>
      <c r="G46" s="189"/>
      <c r="H46" s="184"/>
      <c r="I46" s="189"/>
      <c r="J46" s="184"/>
      <c r="K46" s="189"/>
      <c r="L46" s="145"/>
      <c r="M46" s="145"/>
      <c r="N46" s="145"/>
      <c r="O46" s="145"/>
      <c r="P46" s="145"/>
      <c r="Q46" s="142"/>
      <c r="R46" s="142"/>
      <c r="S46" s="142"/>
      <c r="T46" s="142"/>
      <c r="U46" s="144"/>
      <c r="V46" s="144"/>
      <c r="W46" s="144"/>
      <c r="X46" s="144"/>
      <c r="Y46" s="144"/>
      <c r="Z46" s="144"/>
      <c r="AA46" s="145"/>
      <c r="AB46" s="145"/>
    </row>
    <row r="47" spans="1:28" s="137" customFormat="1" ht="17.25" customHeight="1">
      <c r="A47" s="679" t="s">
        <v>343</v>
      </c>
      <c r="B47" s="693"/>
      <c r="C47" s="697" t="s">
        <v>434</v>
      </c>
      <c r="D47" s="698"/>
      <c r="E47" s="698"/>
      <c r="F47" s="699"/>
      <c r="G47" s="696" t="s">
        <v>580</v>
      </c>
      <c r="H47" s="681"/>
      <c r="I47" s="175"/>
      <c r="J47" s="175"/>
      <c r="K47" s="175"/>
      <c r="M47" s="145"/>
      <c r="N47" s="145"/>
      <c r="O47" s="145"/>
      <c r="P47" s="145"/>
      <c r="Q47" s="142"/>
      <c r="R47" s="142"/>
      <c r="S47" s="142"/>
      <c r="T47" s="144"/>
      <c r="U47" s="147"/>
      <c r="V47" s="151"/>
      <c r="W47" s="144"/>
      <c r="X47" s="144"/>
      <c r="Y47" s="144"/>
      <c r="Z47" s="144"/>
      <c r="AA47" s="145"/>
      <c r="AB47" s="145"/>
    </row>
    <row r="48" spans="1:28" s="137" customFormat="1" ht="17.25" customHeight="1">
      <c r="A48" s="175"/>
      <c r="B48" s="175"/>
      <c r="C48" s="175"/>
      <c r="D48" s="175"/>
      <c r="E48" s="175"/>
      <c r="F48" s="175"/>
      <c r="G48" s="175"/>
      <c r="H48" s="175"/>
      <c r="I48" s="175"/>
      <c r="J48" s="175"/>
      <c r="K48" s="175"/>
      <c r="M48" s="145"/>
      <c r="N48" s="145"/>
      <c r="O48" s="145"/>
      <c r="P48" s="145"/>
      <c r="Q48" s="142"/>
      <c r="R48" s="142"/>
      <c r="S48" s="142"/>
      <c r="T48" s="144"/>
      <c r="U48" s="144"/>
      <c r="V48" s="151"/>
      <c r="W48" s="144"/>
      <c r="X48" s="144"/>
      <c r="Y48" s="144"/>
      <c r="Z48" s="144"/>
      <c r="AA48" s="145"/>
      <c r="AB48" s="145"/>
    </row>
    <row r="49" spans="1:28" s="137" customFormat="1" ht="17.25" customHeight="1">
      <c r="A49" s="679" t="s">
        <v>581</v>
      </c>
      <c r="B49" s="679"/>
      <c r="C49" s="175"/>
      <c r="D49" s="175"/>
      <c r="E49" s="175"/>
      <c r="F49" s="175"/>
      <c r="G49" s="200" t="s">
        <v>582</v>
      </c>
      <c r="H49" s="200"/>
      <c r="I49" s="175"/>
      <c r="J49" s="175"/>
      <c r="K49" s="175"/>
      <c r="M49" s="145"/>
      <c r="N49" s="145"/>
      <c r="O49" s="145"/>
      <c r="P49" s="145"/>
      <c r="Q49" s="142"/>
      <c r="R49" s="142"/>
      <c r="S49" s="142"/>
      <c r="T49" s="144"/>
      <c r="U49" s="144"/>
      <c r="V49" s="144"/>
      <c r="W49" s="144"/>
      <c r="X49" s="144"/>
      <c r="Y49" s="144"/>
      <c r="Z49" s="144"/>
      <c r="AA49" s="145"/>
      <c r="AB49" s="145"/>
    </row>
    <row r="50" spans="1:28" s="137" customFormat="1" ht="17.25" customHeight="1">
      <c r="A50" s="175"/>
      <c r="B50" s="175"/>
      <c r="C50" s="175"/>
      <c r="D50" s="175"/>
      <c r="E50" s="175"/>
      <c r="F50" s="175"/>
      <c r="G50" s="175"/>
      <c r="H50" s="175"/>
      <c r="I50" s="175"/>
      <c r="J50" s="175"/>
      <c r="K50" s="175"/>
      <c r="M50" s="145"/>
      <c r="N50" s="145"/>
      <c r="O50" s="145"/>
      <c r="P50" s="145"/>
      <c r="Q50" s="142"/>
      <c r="R50" s="142"/>
      <c r="S50" s="142"/>
      <c r="T50" s="144"/>
      <c r="U50" s="144"/>
      <c r="V50" s="144"/>
      <c r="W50" s="144"/>
      <c r="X50" s="144"/>
      <c r="Y50" s="144"/>
      <c r="Z50" s="144"/>
      <c r="AA50" s="145"/>
      <c r="AB50" s="145"/>
    </row>
    <row r="51" spans="1:28" s="137" customFormat="1" ht="17.25" customHeight="1">
      <c r="A51" s="679" t="s">
        <v>583</v>
      </c>
      <c r="B51" s="679"/>
      <c r="C51" s="175"/>
      <c r="D51" s="175"/>
      <c r="E51" s="175"/>
      <c r="F51" s="175"/>
      <c r="G51" s="175"/>
      <c r="H51" s="175"/>
      <c r="I51" s="175"/>
      <c r="J51" s="175"/>
      <c r="K51" s="175"/>
      <c r="M51" s="145"/>
      <c r="N51" s="145"/>
      <c r="O51" s="145"/>
      <c r="P51" s="145"/>
      <c r="Q51" s="142"/>
      <c r="R51" s="142"/>
      <c r="S51" s="142"/>
      <c r="T51" s="144"/>
      <c r="U51" s="144"/>
      <c r="V51" s="144"/>
      <c r="W51" s="144"/>
      <c r="X51" s="144"/>
      <c r="Y51" s="144"/>
      <c r="Z51" s="144"/>
      <c r="AA51" s="145"/>
      <c r="AB51" s="145"/>
    </row>
    <row r="52" spans="1:28" s="137" customFormat="1" ht="17.25" customHeight="1">
      <c r="A52" s="175"/>
      <c r="B52" s="175"/>
      <c r="C52" s="175"/>
      <c r="D52" s="175"/>
      <c r="E52" s="175"/>
      <c r="F52" s="175"/>
      <c r="G52" s="175"/>
      <c r="H52" s="175"/>
      <c r="I52" s="175"/>
      <c r="J52" s="175"/>
      <c r="K52" s="175"/>
      <c r="M52" s="145"/>
      <c r="N52" s="145"/>
      <c r="O52" s="145"/>
      <c r="P52" s="145"/>
      <c r="Q52" s="142"/>
      <c r="R52" s="142"/>
      <c r="S52" s="142"/>
      <c r="T52" s="144"/>
      <c r="U52" s="144"/>
      <c r="V52" s="144"/>
      <c r="W52" s="144"/>
      <c r="X52" s="144"/>
      <c r="Y52" s="144"/>
      <c r="Z52" s="144"/>
      <c r="AA52" s="145"/>
      <c r="AB52" s="145"/>
    </row>
    <row r="53" spans="1:28" s="137" customFormat="1" ht="17.25" customHeight="1">
      <c r="A53" s="679" t="s">
        <v>584</v>
      </c>
      <c r="B53" s="679"/>
      <c r="C53" s="175"/>
      <c r="D53" s="175"/>
      <c r="E53" s="175"/>
      <c r="F53" s="175"/>
      <c r="G53" s="175"/>
      <c r="H53" s="175"/>
      <c r="I53" s="175"/>
      <c r="J53" s="175"/>
      <c r="K53" s="175"/>
      <c r="M53" s="145"/>
      <c r="N53" s="145"/>
      <c r="O53" s="145"/>
      <c r="P53" s="145"/>
      <c r="Q53" s="142"/>
      <c r="R53" s="142"/>
      <c r="S53" s="142"/>
      <c r="T53" s="144"/>
      <c r="U53" s="144"/>
      <c r="V53" s="144"/>
      <c r="W53" s="144"/>
      <c r="X53" s="144"/>
      <c r="Y53" s="144"/>
      <c r="Z53" s="144"/>
      <c r="AA53" s="145"/>
      <c r="AB53" s="145"/>
    </row>
    <row r="54" spans="1:28" s="137" customFormat="1" ht="17.25" customHeight="1">
      <c r="A54" s="175"/>
      <c r="B54" s="175"/>
      <c r="C54" s="175"/>
      <c r="D54" s="175"/>
      <c r="E54" s="175"/>
      <c r="F54" s="175"/>
      <c r="G54" s="175"/>
      <c r="H54" s="175"/>
      <c r="I54" s="175"/>
      <c r="J54" s="175"/>
      <c r="K54" s="175"/>
      <c r="M54" s="145"/>
      <c r="N54" s="145"/>
      <c r="O54" s="145"/>
      <c r="P54" s="145"/>
      <c r="Q54" s="142"/>
      <c r="R54" s="142"/>
      <c r="S54" s="142"/>
      <c r="T54" s="144"/>
      <c r="U54" s="144"/>
      <c r="V54" s="144"/>
      <c r="W54" s="144"/>
      <c r="X54" s="144"/>
      <c r="Y54" s="144"/>
      <c r="Z54" s="144"/>
      <c r="AA54" s="145"/>
      <c r="AB54" s="145"/>
    </row>
    <row r="55" spans="1:28" s="137" customFormat="1" ht="17.25" customHeight="1">
      <c r="A55" s="679" t="s">
        <v>585</v>
      </c>
      <c r="B55" s="679"/>
      <c r="C55" s="175"/>
      <c r="D55" s="175"/>
      <c r="E55" s="175"/>
      <c r="F55" s="175"/>
      <c r="G55" s="175"/>
      <c r="H55" s="175"/>
      <c r="I55" s="175"/>
      <c r="J55" s="175"/>
      <c r="K55" s="175"/>
      <c r="M55" s="145"/>
      <c r="N55" s="145"/>
      <c r="O55" s="145"/>
      <c r="P55" s="145"/>
      <c r="Q55" s="142"/>
      <c r="R55" s="142"/>
      <c r="S55" s="142"/>
      <c r="T55" s="144"/>
      <c r="U55" s="144"/>
      <c r="V55" s="144"/>
      <c r="W55" s="144"/>
      <c r="X55" s="144"/>
      <c r="Y55" s="144"/>
      <c r="Z55" s="144"/>
      <c r="AA55" s="145"/>
      <c r="AB55" s="145"/>
    </row>
    <row r="56" spans="1:28" s="137" customFormat="1" ht="16.5" customHeight="1">
      <c r="A56" s="175"/>
      <c r="B56" s="175"/>
      <c r="C56" s="175"/>
      <c r="D56" s="175"/>
      <c r="E56" s="175"/>
      <c r="F56" s="175"/>
      <c r="G56" s="175"/>
      <c r="H56" s="175"/>
      <c r="I56" s="175"/>
      <c r="J56" s="175"/>
      <c r="K56" s="175"/>
      <c r="M56" s="145"/>
      <c r="N56" s="145"/>
      <c r="O56" s="145"/>
      <c r="P56" s="145"/>
      <c r="Q56" s="142"/>
      <c r="R56" s="142"/>
      <c r="S56" s="142"/>
      <c r="T56" s="144"/>
      <c r="U56" s="144"/>
      <c r="V56" s="144"/>
      <c r="W56" s="144"/>
      <c r="X56" s="144"/>
      <c r="Y56" s="144"/>
      <c r="Z56" s="144"/>
      <c r="AA56" s="145"/>
      <c r="AB56" s="145"/>
    </row>
    <row r="57" spans="1:28" s="137" customFormat="1" ht="17.25" customHeight="1">
      <c r="A57" s="679" t="s">
        <v>586</v>
      </c>
      <c r="B57" s="679"/>
      <c r="C57" s="175"/>
      <c r="D57" s="175"/>
      <c r="E57" s="175"/>
      <c r="F57" s="175"/>
      <c r="G57" s="175"/>
      <c r="H57" s="175"/>
      <c r="I57" s="175"/>
      <c r="J57" s="175"/>
      <c r="K57" s="175"/>
      <c r="M57" s="145"/>
      <c r="N57" s="145"/>
      <c r="O57" s="145"/>
      <c r="P57" s="145"/>
      <c r="Q57" s="142"/>
      <c r="R57" s="142"/>
      <c r="S57" s="142"/>
      <c r="T57" s="144"/>
      <c r="U57" s="144"/>
      <c r="V57" s="144"/>
      <c r="W57" s="144"/>
      <c r="X57" s="144"/>
      <c r="Y57" s="144"/>
      <c r="Z57" s="144"/>
      <c r="AA57" s="145"/>
      <c r="AB57" s="145"/>
    </row>
    <row r="58" spans="1:28" s="137" customFormat="1" ht="16.5" customHeight="1" thickBot="1">
      <c r="A58" s="175"/>
      <c r="B58" s="175"/>
      <c r="C58" s="175"/>
      <c r="D58" s="175"/>
      <c r="E58" s="175"/>
      <c r="F58" s="175"/>
      <c r="G58" s="175"/>
      <c r="H58" s="175"/>
      <c r="I58" s="175"/>
      <c r="J58" s="175"/>
      <c r="K58" s="175"/>
      <c r="M58" s="145"/>
      <c r="N58" s="145"/>
      <c r="O58" s="145"/>
      <c r="P58" s="145"/>
      <c r="Q58" s="142"/>
      <c r="R58" s="142"/>
      <c r="S58" s="142"/>
      <c r="T58" s="144"/>
      <c r="U58" s="144"/>
      <c r="V58" s="144"/>
      <c r="W58" s="144"/>
      <c r="X58" s="144"/>
      <c r="Y58" s="144"/>
      <c r="Z58" s="144"/>
      <c r="AA58" s="145"/>
      <c r="AB58" s="145"/>
    </row>
    <row r="59" spans="1:28" s="137" customFormat="1" ht="18" customHeight="1" thickBot="1">
      <c r="A59" s="175"/>
      <c r="B59" s="201" t="s">
        <v>494</v>
      </c>
      <c r="C59" s="201"/>
      <c r="D59" s="620"/>
      <c r="E59" s="182">
        <v>48</v>
      </c>
      <c r="F59" s="178" t="s">
        <v>29</v>
      </c>
      <c r="G59" s="175"/>
      <c r="H59" s="575">
        <f>IF(ISBLANK(E59),"",E59/12)</f>
        <v>4</v>
      </c>
      <c r="I59" s="175" t="s">
        <v>128</v>
      </c>
      <c r="J59" s="175"/>
      <c r="K59" s="189"/>
      <c r="L59" s="151"/>
      <c r="M59" s="145"/>
      <c r="N59" s="145"/>
      <c r="O59" s="145"/>
      <c r="P59" s="145"/>
      <c r="Q59" s="142"/>
      <c r="R59" s="142"/>
      <c r="S59" s="142"/>
      <c r="T59" s="144"/>
      <c r="U59" s="147"/>
      <c r="V59" s="151"/>
      <c r="W59" s="144"/>
      <c r="X59" s="144"/>
      <c r="Y59" s="144"/>
      <c r="Z59" s="144"/>
      <c r="AA59" s="145"/>
      <c r="AB59" s="145"/>
    </row>
    <row r="60" spans="1:28" s="137" customFormat="1" ht="9" customHeight="1">
      <c r="A60" s="207"/>
      <c r="B60" s="207"/>
      <c r="C60" s="184"/>
      <c r="D60" s="184"/>
      <c r="E60" s="175"/>
      <c r="F60" s="196"/>
      <c r="G60" s="196"/>
      <c r="H60" s="175"/>
      <c r="I60" s="189"/>
      <c r="J60" s="197"/>
      <c r="K60" s="189"/>
      <c r="L60" s="151"/>
      <c r="M60" s="145"/>
      <c r="N60" s="145"/>
      <c r="O60" s="145"/>
      <c r="P60" s="145"/>
      <c r="Q60" s="142"/>
      <c r="R60" s="142"/>
      <c r="S60" s="142"/>
      <c r="T60" s="144"/>
      <c r="U60" s="147"/>
      <c r="V60" s="151"/>
      <c r="W60" s="144"/>
      <c r="X60" s="144"/>
      <c r="Y60" s="144"/>
      <c r="Z60" s="144"/>
      <c r="AA60" s="145"/>
      <c r="AB60" s="145"/>
    </row>
    <row r="61" spans="1:28" s="137" customFormat="1" ht="18" customHeight="1">
      <c r="A61" s="175"/>
      <c r="B61" s="190" t="s">
        <v>408</v>
      </c>
      <c r="C61" s="190"/>
      <c r="D61" s="619"/>
      <c r="E61" s="214">
        <v>3</v>
      </c>
      <c r="F61" s="178" t="s">
        <v>121</v>
      </c>
      <c r="G61" s="201"/>
      <c r="H61" s="184"/>
      <c r="I61" s="184"/>
      <c r="J61" s="184"/>
      <c r="K61" s="184"/>
      <c r="L61" s="145"/>
      <c r="M61" s="145"/>
      <c r="N61" s="145"/>
      <c r="O61" s="145"/>
      <c r="P61" s="145"/>
      <c r="Q61" s="142"/>
      <c r="R61" s="142"/>
      <c r="S61" s="142"/>
      <c r="T61" s="144"/>
      <c r="U61" s="144"/>
      <c r="V61" s="151"/>
      <c r="W61" s="144"/>
      <c r="X61" s="144"/>
      <c r="Y61" s="144"/>
      <c r="Z61" s="144"/>
      <c r="AA61" s="145"/>
      <c r="AB61" s="145"/>
    </row>
    <row r="62" spans="1:28" s="137" customFormat="1" ht="9" customHeight="1">
      <c r="A62" s="175"/>
      <c r="B62" s="175"/>
      <c r="C62" s="175"/>
      <c r="D62" s="175"/>
      <c r="E62" s="175"/>
      <c r="F62" s="175"/>
      <c r="G62" s="190"/>
      <c r="H62" s="190"/>
      <c r="I62" s="190"/>
      <c r="J62" s="175"/>
      <c r="K62" s="175"/>
      <c r="M62" s="145"/>
      <c r="N62" s="145"/>
      <c r="O62" s="145"/>
      <c r="P62" s="145"/>
      <c r="Q62" s="142"/>
      <c r="R62" s="142"/>
      <c r="S62" s="142"/>
      <c r="T62" s="144"/>
      <c r="U62" s="144"/>
      <c r="V62" s="144"/>
      <c r="W62" s="144"/>
      <c r="X62" s="144"/>
      <c r="Y62" s="144"/>
      <c r="Z62" s="144"/>
      <c r="AA62" s="145"/>
      <c r="AB62" s="145"/>
    </row>
    <row r="63" spans="1:28" s="137" customFormat="1" ht="17.25" customHeight="1">
      <c r="A63" s="175"/>
      <c r="B63" s="190" t="s">
        <v>341</v>
      </c>
      <c r="C63" s="190"/>
      <c r="D63" s="619"/>
      <c r="E63" s="519">
        <v>12</v>
      </c>
      <c r="F63" s="178" t="s">
        <v>29</v>
      </c>
      <c r="G63" s="175"/>
      <c r="H63" s="175"/>
      <c r="I63" s="175"/>
      <c r="J63" s="175"/>
      <c r="K63" s="175"/>
      <c r="M63" s="145"/>
      <c r="N63" s="145"/>
      <c r="O63" s="145"/>
      <c r="P63" s="145"/>
      <c r="Q63" s="142"/>
      <c r="R63" s="142"/>
      <c r="S63" s="142"/>
      <c r="T63" s="144"/>
      <c r="U63" s="144"/>
      <c r="V63" s="144"/>
      <c r="W63" s="144"/>
      <c r="X63" s="144"/>
      <c r="Y63" s="144"/>
      <c r="Z63" s="144"/>
      <c r="AA63" s="145"/>
      <c r="AB63" s="145"/>
    </row>
    <row r="64" spans="1:28" ht="8.25" customHeight="1">
      <c r="A64" s="185"/>
      <c r="B64" s="185"/>
      <c r="C64" s="209"/>
      <c r="D64" s="209"/>
      <c r="E64" s="209"/>
      <c r="F64" s="210"/>
      <c r="G64" s="210"/>
      <c r="H64" s="185"/>
      <c r="I64" s="186"/>
      <c r="J64" s="185"/>
      <c r="K64" s="186"/>
      <c r="M64" s="145"/>
      <c r="N64" s="145"/>
      <c r="O64" s="145"/>
      <c r="P64" s="145"/>
      <c r="Q64" s="142"/>
      <c r="R64" s="142"/>
    </row>
    <row r="65" spans="1:28" s="137" customFormat="1" ht="18" customHeight="1">
      <c r="A65" s="175"/>
      <c r="B65" s="190" t="s">
        <v>340</v>
      </c>
      <c r="C65" s="190"/>
      <c r="D65" s="619"/>
      <c r="E65" s="182">
        <v>2.2000000000000002</v>
      </c>
      <c r="F65" s="521" t="s">
        <v>785</v>
      </c>
      <c r="G65" s="189"/>
      <c r="H65" s="197"/>
      <c r="I65" s="211"/>
      <c r="J65" s="679"/>
      <c r="K65" s="196"/>
      <c r="L65" s="152"/>
      <c r="M65" s="145"/>
      <c r="N65" s="145"/>
      <c r="O65" s="145"/>
      <c r="P65" s="145"/>
      <c r="Q65" s="142"/>
      <c r="R65" s="142"/>
      <c r="S65" s="142"/>
      <c r="T65" s="144"/>
      <c r="U65" s="144"/>
      <c r="V65" s="144"/>
      <c r="W65" s="144"/>
      <c r="X65" s="144"/>
      <c r="Y65" s="144"/>
      <c r="Z65" s="144"/>
      <c r="AA65" s="145"/>
      <c r="AB65" s="145"/>
    </row>
    <row r="66" spans="1:28" s="137" customFormat="1" ht="9.75" customHeight="1">
      <c r="A66" s="175"/>
      <c r="B66" s="184"/>
      <c r="C66" s="184"/>
      <c r="D66" s="184"/>
      <c r="E66" s="184"/>
      <c r="F66" s="184"/>
      <c r="G66" s="184"/>
      <c r="H66" s="184"/>
      <c r="I66" s="184"/>
      <c r="J66" s="679"/>
      <c r="K66" s="175"/>
      <c r="M66" s="145"/>
      <c r="N66" s="145"/>
      <c r="O66" s="145"/>
      <c r="P66" s="145"/>
      <c r="Q66" s="142"/>
      <c r="R66" s="142"/>
      <c r="S66" s="142"/>
      <c r="T66" s="144"/>
      <c r="U66" s="144"/>
      <c r="V66" s="144"/>
      <c r="W66" s="144"/>
      <c r="X66" s="144"/>
      <c r="Y66" s="144"/>
      <c r="Z66" s="144"/>
      <c r="AA66" s="145"/>
      <c r="AB66" s="145"/>
    </row>
    <row r="67" spans="1:28" s="137" customFormat="1" ht="15" customHeight="1">
      <c r="A67" s="175"/>
      <c r="B67" s="190" t="s">
        <v>339</v>
      </c>
      <c r="C67" s="175"/>
      <c r="D67" s="175"/>
      <c r="E67" s="175"/>
      <c r="F67" s="175"/>
      <c r="G67" s="175"/>
      <c r="H67" s="175"/>
      <c r="I67" s="175"/>
      <c r="J67" s="175"/>
      <c r="K67" s="175"/>
      <c r="M67" s="145"/>
      <c r="N67" s="145"/>
      <c r="O67" s="145"/>
      <c r="P67" s="145"/>
      <c r="Q67" s="142"/>
      <c r="R67" s="142"/>
      <c r="S67" s="142"/>
      <c r="T67" s="144"/>
      <c r="U67" s="144"/>
      <c r="V67" s="144"/>
      <c r="W67" s="144"/>
      <c r="X67" s="144"/>
      <c r="Y67" s="144"/>
      <c r="Z67" s="144"/>
      <c r="AA67" s="145"/>
      <c r="AB67" s="145"/>
    </row>
    <row r="68" spans="1:28" s="144" customFormat="1" ht="9" customHeight="1" thickBot="1">
      <c r="A68" s="211"/>
      <c r="B68" s="211"/>
      <c r="C68" s="184"/>
      <c r="D68" s="184"/>
      <c r="E68" s="184"/>
      <c r="F68" s="184"/>
      <c r="G68" s="184"/>
      <c r="H68" s="184"/>
      <c r="I68" s="175"/>
      <c r="J68" s="184"/>
      <c r="K68" s="184"/>
      <c r="L68" s="145"/>
      <c r="M68" s="145"/>
      <c r="N68" s="145"/>
      <c r="O68" s="145"/>
      <c r="P68" s="145"/>
      <c r="Q68" s="142"/>
      <c r="R68" s="142"/>
      <c r="S68" s="142"/>
    </row>
    <row r="69" spans="1:28" s="144" customFormat="1" ht="16.5" customHeight="1" thickBot="1">
      <c r="A69" s="211"/>
      <c r="B69" s="681" t="s">
        <v>572</v>
      </c>
      <c r="C69" s="682"/>
      <c r="D69" s="623"/>
      <c r="E69" s="212" t="str">
        <f>IF(DropDownList!N2=1,PercTest!H14,"")</f>
        <v/>
      </c>
      <c r="F69" s="211" t="s">
        <v>29</v>
      </c>
      <c r="G69" s="211"/>
      <c r="H69" s="212" t="str">
        <f>IF(DropDownList!N2=1,PercTest!F46,"")</f>
        <v/>
      </c>
      <c r="I69" s="175" t="s">
        <v>124</v>
      </c>
      <c r="J69" s="211"/>
      <c r="K69" s="211"/>
      <c r="P69" s="145"/>
      <c r="R69" s="142"/>
      <c r="S69" s="142"/>
    </row>
    <row r="70" spans="1:28" s="144" customFormat="1" ht="8.25" customHeight="1">
      <c r="A70" s="211"/>
      <c r="B70" s="211"/>
      <c r="C70" s="211"/>
      <c r="D70" s="211"/>
      <c r="E70" s="211"/>
      <c r="F70" s="211"/>
      <c r="G70" s="211"/>
      <c r="H70" s="211"/>
      <c r="I70" s="211"/>
      <c r="J70" s="211"/>
      <c r="K70" s="211"/>
      <c r="R70" s="142"/>
      <c r="S70" s="142"/>
    </row>
    <row r="71" spans="1:28" s="144" customFormat="1" ht="17.25" customHeight="1">
      <c r="A71" s="213"/>
      <c r="B71" s="211" t="s">
        <v>496</v>
      </c>
      <c r="C71" s="211"/>
      <c r="D71" s="211"/>
      <c r="E71" s="214">
        <v>45</v>
      </c>
      <c r="F71" s="211" t="s">
        <v>124</v>
      </c>
      <c r="G71" s="211"/>
      <c r="H71" s="677" t="s">
        <v>498</v>
      </c>
      <c r="I71" s="678"/>
      <c r="J71" s="208">
        <v>0.45</v>
      </c>
      <c r="K71" s="178" t="s">
        <v>587</v>
      </c>
      <c r="R71" s="142"/>
      <c r="S71" s="142"/>
    </row>
    <row r="72" spans="1:28" s="144" customFormat="1" ht="14.25" customHeight="1">
      <c r="A72" s="683" t="s">
        <v>534</v>
      </c>
      <c r="B72" s="683"/>
      <c r="C72" s="213"/>
      <c r="D72" s="213"/>
      <c r="E72" s="213"/>
      <c r="F72" s="213"/>
      <c r="G72" s="211"/>
      <c r="H72" s="211"/>
      <c r="I72" s="211"/>
      <c r="J72" s="215" t="s">
        <v>543</v>
      </c>
      <c r="K72" s="211"/>
      <c r="R72" s="142"/>
      <c r="S72" s="142"/>
    </row>
    <row r="73" spans="1:28" ht="4.5" customHeight="1">
      <c r="A73" s="185"/>
      <c r="B73" s="200"/>
      <c r="C73" s="196"/>
      <c r="D73" s="622"/>
      <c r="E73" s="175"/>
      <c r="F73" s="196"/>
      <c r="G73" s="196"/>
      <c r="H73" s="175"/>
      <c r="I73" s="200"/>
      <c r="J73" s="175"/>
      <c r="K73" s="196"/>
      <c r="L73" s="137"/>
      <c r="M73" s="144"/>
      <c r="N73" s="144"/>
      <c r="O73" s="144"/>
      <c r="P73" s="144"/>
      <c r="Q73" s="144"/>
      <c r="R73" s="142"/>
      <c r="T73" s="138"/>
      <c r="U73" s="138"/>
      <c r="V73" s="138"/>
      <c r="W73" s="138"/>
      <c r="X73" s="138"/>
      <c r="Y73" s="138"/>
      <c r="Z73" s="138"/>
      <c r="AA73" s="138"/>
      <c r="AB73" s="138"/>
    </row>
    <row r="74" spans="1:28" s="144" customFormat="1" ht="15.75">
      <c r="A74" s="680" t="s">
        <v>539</v>
      </c>
      <c r="B74" s="680"/>
      <c r="C74" s="211"/>
      <c r="D74" s="211"/>
      <c r="E74" s="182">
        <v>1500</v>
      </c>
      <c r="F74" s="211" t="s">
        <v>577</v>
      </c>
      <c r="G74" s="211"/>
      <c r="H74" s="681" t="s">
        <v>540</v>
      </c>
      <c r="I74" s="678"/>
      <c r="J74" s="182">
        <v>1</v>
      </c>
      <c r="K74" s="211"/>
      <c r="R74" s="142"/>
      <c r="S74" s="142"/>
    </row>
    <row r="75" spans="1:28" s="144" customFormat="1" ht="15.75">
      <c r="A75" s="211"/>
      <c r="B75" s="211"/>
      <c r="C75" s="211"/>
      <c r="D75" s="211"/>
      <c r="E75" s="216" t="s">
        <v>542</v>
      </c>
      <c r="F75" s="211"/>
      <c r="G75" s="211"/>
      <c r="H75" s="211"/>
      <c r="I75" s="211"/>
      <c r="J75" s="211"/>
      <c r="K75" s="211"/>
      <c r="R75" s="142"/>
    </row>
    <row r="76" spans="1:28" ht="8.25" customHeight="1">
      <c r="A76" s="185"/>
      <c r="B76" s="185"/>
      <c r="C76" s="185"/>
      <c r="D76" s="185"/>
      <c r="E76" s="217"/>
      <c r="F76" s="186"/>
      <c r="G76" s="186"/>
      <c r="H76" s="185"/>
      <c r="I76" s="186"/>
      <c r="J76" s="185"/>
      <c r="K76" s="186"/>
      <c r="M76" s="144"/>
      <c r="N76" s="144"/>
      <c r="O76" s="144"/>
      <c r="P76" s="144"/>
      <c r="Q76" s="144"/>
      <c r="R76" s="142"/>
      <c r="T76" s="138"/>
      <c r="U76" s="138"/>
      <c r="V76" s="138"/>
      <c r="W76" s="138"/>
      <c r="X76" s="138"/>
      <c r="Y76" s="138"/>
      <c r="Z76" s="138"/>
      <c r="AA76" s="138"/>
      <c r="AB76" s="138"/>
    </row>
    <row r="77" spans="1:28" ht="15.75">
      <c r="A77" s="684" t="s">
        <v>460</v>
      </c>
      <c r="B77" s="684"/>
      <c r="C77" s="217"/>
      <c r="D77" s="217"/>
      <c r="F77" s="186"/>
      <c r="G77" s="186"/>
      <c r="H77" s="677" t="s">
        <v>786</v>
      </c>
      <c r="I77" s="678"/>
      <c r="J77" s="524">
        <v>6</v>
      </c>
      <c r="K77" s="175" t="s">
        <v>787</v>
      </c>
      <c r="L77" s="137"/>
      <c r="M77" s="144"/>
      <c r="N77" s="144"/>
      <c r="O77" s="144"/>
      <c r="P77" s="144"/>
      <c r="Q77" s="144"/>
      <c r="R77" s="142"/>
      <c r="T77" s="138"/>
      <c r="U77" s="138"/>
      <c r="V77" s="138"/>
      <c r="W77" s="138"/>
      <c r="X77" s="138"/>
      <c r="Y77" s="138"/>
      <c r="Z77" s="138"/>
      <c r="AA77" s="138"/>
      <c r="AB77" s="138"/>
    </row>
    <row r="78" spans="1:28" ht="15.75">
      <c r="A78" s="185"/>
      <c r="B78" s="185"/>
      <c r="C78" s="185"/>
      <c r="D78" s="185"/>
      <c r="E78" s="185"/>
      <c r="F78" s="186"/>
      <c r="G78" s="186"/>
      <c r="H78" s="185"/>
      <c r="I78" s="186"/>
      <c r="J78" s="198" t="s">
        <v>790</v>
      </c>
      <c r="K78" s="186"/>
      <c r="M78" s="144"/>
      <c r="N78" s="144"/>
      <c r="O78" s="144"/>
      <c r="P78" s="144"/>
      <c r="Q78" s="144"/>
      <c r="R78" s="142"/>
      <c r="T78" s="138"/>
      <c r="U78" s="138"/>
      <c r="V78" s="138"/>
      <c r="W78" s="138"/>
      <c r="X78" s="138"/>
      <c r="Y78" s="138"/>
      <c r="Z78" s="138"/>
      <c r="AA78" s="138"/>
      <c r="AB78" s="138"/>
    </row>
    <row r="79" spans="1:28" ht="15.75">
      <c r="A79" s="185"/>
      <c r="B79" s="185"/>
      <c r="C79" s="185"/>
      <c r="D79" s="185"/>
      <c r="E79" s="185"/>
      <c r="F79" s="218"/>
      <c r="G79" s="186"/>
      <c r="H79" s="185"/>
      <c r="I79" s="186"/>
      <c r="J79" s="185"/>
      <c r="K79" s="186"/>
      <c r="M79" s="144"/>
      <c r="N79" s="144"/>
      <c r="O79" s="144"/>
      <c r="P79" s="144"/>
      <c r="Q79" s="144"/>
      <c r="R79" s="142"/>
      <c r="T79" s="138"/>
      <c r="U79" s="138"/>
      <c r="V79" s="138"/>
      <c r="W79" s="138"/>
      <c r="X79" s="138"/>
      <c r="Y79" s="138"/>
      <c r="Z79" s="138"/>
      <c r="AA79" s="138"/>
      <c r="AB79" s="138"/>
    </row>
    <row r="80" spans="1:28" ht="15.75">
      <c r="A80" s="185"/>
      <c r="B80" s="185"/>
      <c r="C80" s="185"/>
      <c r="D80" s="185"/>
      <c r="E80" s="185"/>
      <c r="F80" s="186"/>
      <c r="G80" s="186"/>
      <c r="H80" s="185"/>
      <c r="I80" s="186"/>
      <c r="J80" s="185"/>
      <c r="K80" s="186"/>
      <c r="M80" s="144"/>
      <c r="N80" s="144"/>
      <c r="O80" s="144"/>
      <c r="P80" s="144"/>
      <c r="Q80" s="144"/>
      <c r="R80" s="142"/>
      <c r="T80" s="138"/>
      <c r="U80" s="138"/>
      <c r="V80" s="138"/>
      <c r="W80" s="138"/>
      <c r="X80" s="138"/>
      <c r="Y80" s="138"/>
      <c r="Z80" s="138"/>
      <c r="AA80" s="138"/>
      <c r="AB80" s="138"/>
    </row>
    <row r="81" spans="1:28" ht="15.75">
      <c r="A81" s="185"/>
      <c r="B81" s="185"/>
      <c r="C81" s="185"/>
      <c r="D81" s="185"/>
      <c r="E81" s="185"/>
      <c r="F81" s="186"/>
      <c r="G81" s="186"/>
      <c r="H81" s="185"/>
      <c r="I81" s="186"/>
      <c r="J81" s="185"/>
      <c r="K81" s="186"/>
      <c r="M81" s="144"/>
      <c r="N81" s="144"/>
      <c r="O81" s="144"/>
      <c r="P81" s="144"/>
      <c r="Q81" s="144"/>
      <c r="R81" s="142"/>
    </row>
    <row r="82" spans="1:28" ht="15.75">
      <c r="A82" s="185"/>
      <c r="B82" s="185"/>
      <c r="C82" s="185"/>
      <c r="D82" s="185"/>
      <c r="E82" s="185"/>
      <c r="F82" s="186"/>
      <c r="G82" s="186"/>
      <c r="H82" s="211"/>
      <c r="I82" s="211"/>
      <c r="J82" s="211"/>
      <c r="K82" s="211"/>
      <c r="L82" s="144"/>
      <c r="M82" s="144"/>
      <c r="N82" s="144"/>
      <c r="T82" s="138"/>
      <c r="U82" s="138"/>
      <c r="V82" s="138"/>
      <c r="W82" s="138"/>
      <c r="X82" s="138"/>
      <c r="Y82" s="138"/>
      <c r="Z82" s="138"/>
      <c r="AA82" s="138"/>
      <c r="AB82" s="138"/>
    </row>
    <row r="83" spans="1:28">
      <c r="A83" s="185"/>
      <c r="B83" s="185"/>
      <c r="C83" s="185"/>
      <c r="D83" s="185"/>
      <c r="E83" s="185"/>
      <c r="F83" s="186"/>
      <c r="G83" s="186"/>
      <c r="H83" s="185"/>
      <c r="I83" s="186"/>
      <c r="J83" s="185"/>
      <c r="K83" s="186"/>
    </row>
    <row r="84" spans="1:28" ht="15.75">
      <c r="A84" s="211"/>
      <c r="B84" s="185"/>
      <c r="C84" s="185"/>
      <c r="D84" s="185"/>
      <c r="E84" s="185"/>
      <c r="F84" s="186"/>
      <c r="G84" s="186"/>
      <c r="H84" s="211"/>
      <c r="I84" s="211"/>
      <c r="J84" s="211"/>
      <c r="K84" s="211"/>
      <c r="L84" s="144"/>
      <c r="M84" s="144"/>
      <c r="N84" s="144"/>
      <c r="T84" s="138"/>
      <c r="U84" s="138"/>
      <c r="V84" s="138"/>
      <c r="W84" s="138"/>
      <c r="X84" s="138"/>
      <c r="Y84" s="138"/>
      <c r="Z84" s="138"/>
      <c r="AA84" s="138"/>
      <c r="AB84" s="138"/>
    </row>
    <row r="85" spans="1:28" ht="15.75">
      <c r="A85" s="185"/>
      <c r="B85" s="185"/>
      <c r="C85" s="185"/>
      <c r="D85" s="185"/>
      <c r="E85" s="185"/>
      <c r="F85" s="186"/>
      <c r="G85" s="186"/>
      <c r="H85" s="175"/>
      <c r="I85" s="175"/>
      <c r="J85" s="175"/>
      <c r="K85" s="175"/>
      <c r="L85" s="137"/>
      <c r="M85" s="137"/>
      <c r="T85" s="138"/>
      <c r="U85" s="138"/>
      <c r="V85" s="138"/>
      <c r="W85" s="138"/>
      <c r="X85" s="138"/>
      <c r="Y85" s="138"/>
      <c r="Z85" s="138"/>
      <c r="AA85" s="138"/>
      <c r="AB85" s="138"/>
    </row>
    <row r="86" spans="1:28" ht="15.75">
      <c r="A86" s="211"/>
      <c r="B86" s="185"/>
      <c r="C86" s="185"/>
      <c r="D86" s="185"/>
      <c r="E86" s="185"/>
      <c r="F86" s="186"/>
      <c r="G86" s="186"/>
      <c r="H86" s="211"/>
      <c r="I86" s="211"/>
      <c r="J86" s="211"/>
      <c r="K86" s="211"/>
      <c r="L86" s="144"/>
      <c r="M86" s="144"/>
      <c r="T86" s="138"/>
      <c r="U86" s="138"/>
      <c r="V86" s="138"/>
      <c r="W86" s="138"/>
      <c r="X86" s="138"/>
      <c r="Y86" s="138"/>
      <c r="Z86" s="138"/>
      <c r="AA86" s="138"/>
      <c r="AB86" s="138"/>
    </row>
    <row r="87" spans="1:28" ht="15.75">
      <c r="A87" s="185"/>
      <c r="B87" s="185"/>
      <c r="C87" s="185"/>
      <c r="D87" s="185"/>
      <c r="E87" s="185"/>
      <c r="F87" s="186"/>
      <c r="G87" s="186"/>
      <c r="H87" s="175"/>
      <c r="I87" s="196"/>
      <c r="J87" s="175"/>
      <c r="K87" s="189"/>
      <c r="L87" s="162"/>
      <c r="M87" s="145"/>
      <c r="T87" s="138"/>
      <c r="U87" s="138"/>
      <c r="V87" s="138"/>
      <c r="W87" s="138"/>
      <c r="X87" s="138"/>
      <c r="Y87" s="138"/>
      <c r="Z87" s="138"/>
      <c r="AA87" s="138"/>
      <c r="AB87" s="138"/>
    </row>
    <row r="88" spans="1:28" ht="15">
      <c r="A88" s="175"/>
      <c r="B88" s="185"/>
      <c r="C88" s="185"/>
      <c r="D88" s="185"/>
      <c r="E88" s="185"/>
      <c r="F88" s="186"/>
      <c r="G88" s="186"/>
      <c r="H88" s="175"/>
      <c r="I88" s="196"/>
      <c r="J88" s="175"/>
      <c r="K88" s="186"/>
      <c r="T88" s="138"/>
      <c r="U88" s="138"/>
      <c r="V88" s="138"/>
      <c r="W88" s="138"/>
      <c r="X88" s="138"/>
      <c r="Y88" s="138"/>
      <c r="Z88" s="138"/>
      <c r="AA88" s="138"/>
      <c r="AB88" s="138"/>
    </row>
    <row r="89" spans="1:28" s="140" customFormat="1" ht="23.25">
      <c r="A89" s="207"/>
      <c r="B89" s="213"/>
      <c r="C89" s="213"/>
      <c r="D89" s="213"/>
      <c r="E89" s="213"/>
      <c r="F89" s="213"/>
      <c r="G89" s="213"/>
      <c r="H89" s="175"/>
      <c r="I89" s="196"/>
      <c r="J89" s="175"/>
      <c r="K89" s="213"/>
    </row>
    <row r="90" spans="1:28" s="140" customFormat="1" ht="18" customHeight="1">
      <c r="A90" s="207"/>
      <c r="B90" s="213"/>
      <c r="C90" s="213"/>
      <c r="D90" s="213"/>
      <c r="E90" s="213"/>
      <c r="F90" s="213"/>
      <c r="G90" s="213"/>
      <c r="H90" s="175"/>
      <c r="I90" s="196"/>
      <c r="J90" s="175"/>
      <c r="K90" s="213"/>
    </row>
    <row r="91" spans="1:28" s="140" customFormat="1" ht="18" customHeight="1">
      <c r="A91" s="207"/>
      <c r="B91" s="213"/>
      <c r="C91" s="213"/>
      <c r="D91" s="213"/>
      <c r="E91" s="213"/>
      <c r="F91" s="213"/>
      <c r="G91" s="213"/>
      <c r="H91" s="213"/>
      <c r="I91" s="196"/>
      <c r="J91" s="213"/>
      <c r="K91" s="213"/>
    </row>
    <row r="92" spans="1:28" s="140" customFormat="1" ht="18" customHeight="1">
      <c r="A92" s="207"/>
      <c r="B92" s="213"/>
      <c r="C92" s="213"/>
      <c r="D92" s="213"/>
      <c r="E92" s="213"/>
      <c r="F92" s="213"/>
      <c r="G92" s="213"/>
      <c r="H92" s="175"/>
      <c r="I92" s="196"/>
      <c r="J92" s="175"/>
      <c r="K92" s="213"/>
    </row>
    <row r="93" spans="1:28" s="140" customFormat="1" ht="15">
      <c r="A93" s="175"/>
      <c r="B93" s="213"/>
      <c r="C93" s="213"/>
      <c r="D93" s="213"/>
      <c r="E93" s="213"/>
      <c r="F93" s="213"/>
      <c r="G93" s="213"/>
      <c r="H93" s="175"/>
      <c r="I93" s="196"/>
      <c r="J93" s="175"/>
      <c r="K93" s="213"/>
    </row>
    <row r="94" spans="1:28" s="140" customFormat="1" ht="15">
      <c r="A94" s="175"/>
      <c r="B94" s="213"/>
      <c r="C94" s="213"/>
      <c r="D94" s="213"/>
      <c r="E94" s="213"/>
      <c r="F94" s="213"/>
      <c r="G94" s="213"/>
      <c r="H94" s="175"/>
      <c r="I94" s="196"/>
      <c r="J94" s="175"/>
      <c r="K94" s="213"/>
      <c r="S94" s="143"/>
    </row>
    <row r="95" spans="1:28" s="140" customFormat="1" ht="15">
      <c r="A95" s="175"/>
      <c r="B95" s="213"/>
      <c r="C95" s="213"/>
      <c r="D95" s="213"/>
      <c r="E95" s="213"/>
      <c r="F95" s="213"/>
      <c r="G95" s="213"/>
      <c r="H95" s="175"/>
      <c r="I95" s="196"/>
      <c r="J95" s="175"/>
      <c r="K95" s="213"/>
      <c r="S95" s="143"/>
    </row>
    <row r="96" spans="1:28" s="140" customFormat="1" ht="15">
      <c r="A96" s="175"/>
      <c r="B96" s="213"/>
      <c r="C96" s="213"/>
      <c r="D96" s="213"/>
      <c r="E96" s="213"/>
      <c r="F96" s="213"/>
      <c r="G96" s="178"/>
      <c r="H96" s="175"/>
      <c r="I96" s="196"/>
      <c r="J96" s="175"/>
      <c r="K96" s="213"/>
      <c r="S96" s="143"/>
    </row>
    <row r="97" spans="1:19" s="140" customFormat="1" ht="15">
      <c r="A97" s="175"/>
      <c r="B97" s="190"/>
      <c r="C97" s="190"/>
      <c r="D97" s="619"/>
      <c r="E97" s="189"/>
      <c r="F97" s="178"/>
      <c r="G97" s="178"/>
      <c r="H97" s="175"/>
      <c r="I97" s="196"/>
      <c r="J97" s="175"/>
      <c r="K97" s="213"/>
      <c r="S97" s="143"/>
    </row>
    <row r="98" spans="1:19" s="140" customFormat="1" ht="15">
      <c r="A98" s="213"/>
      <c r="B98" s="213"/>
      <c r="C98" s="213"/>
      <c r="D98" s="213"/>
      <c r="E98" s="213"/>
      <c r="F98" s="213"/>
      <c r="G98" s="178"/>
      <c r="H98" s="175"/>
      <c r="I98" s="196"/>
      <c r="J98" s="175"/>
      <c r="K98" s="213"/>
      <c r="S98" s="143"/>
    </row>
    <row r="99" spans="1:19" s="140" customFormat="1" ht="15">
      <c r="A99" s="175"/>
      <c r="B99" s="190"/>
      <c r="C99" s="190"/>
      <c r="D99" s="619"/>
      <c r="E99" s="213"/>
      <c r="F99" s="178"/>
      <c r="G99" s="178"/>
      <c r="H99" s="175"/>
      <c r="I99" s="196"/>
      <c r="J99" s="175"/>
      <c r="K99" s="213"/>
      <c r="S99" s="143"/>
    </row>
    <row r="100" spans="1:19" s="140" customFormat="1" ht="15.75">
      <c r="G100" s="146"/>
      <c r="H100" s="137"/>
      <c r="I100" s="155"/>
      <c r="J100" s="137"/>
      <c r="S100" s="143"/>
    </row>
    <row r="101" spans="1:19" s="140" customFormat="1" ht="15.75">
      <c r="A101" s="155"/>
      <c r="B101" s="155"/>
      <c r="C101" s="152"/>
      <c r="D101" s="152"/>
      <c r="E101" s="151"/>
      <c r="F101" s="146"/>
      <c r="G101" s="146"/>
      <c r="H101" s="137"/>
      <c r="I101" s="155"/>
      <c r="J101" s="137"/>
      <c r="S101" s="143"/>
    </row>
    <row r="102" spans="1:19" s="140" customFormat="1" ht="15.75">
      <c r="G102" s="156"/>
      <c r="H102" s="144"/>
      <c r="I102" s="151"/>
      <c r="J102" s="137"/>
      <c r="S102" s="143"/>
    </row>
    <row r="103" spans="1:19" s="140" customFormat="1" ht="15.75">
      <c r="A103" s="137"/>
      <c r="B103" s="152"/>
      <c r="C103" s="152"/>
      <c r="D103" s="152"/>
      <c r="E103" s="151"/>
      <c r="F103" s="156"/>
      <c r="G103" s="156"/>
      <c r="H103" s="144"/>
      <c r="I103" s="151"/>
      <c r="J103" s="137"/>
      <c r="S103" s="143"/>
    </row>
    <row r="104" spans="1:19" s="140" customFormat="1" ht="15.75">
      <c r="C104" s="151"/>
      <c r="D104" s="151"/>
      <c r="E104" s="146"/>
      <c r="J104" s="137"/>
      <c r="S104" s="143"/>
    </row>
    <row r="105" spans="1:19" s="140" customFormat="1" ht="15.75">
      <c r="A105" s="137"/>
      <c r="B105" s="137"/>
      <c r="C105" s="151"/>
      <c r="D105" s="151"/>
      <c r="E105" s="137"/>
      <c r="J105" s="137"/>
      <c r="S105" s="143"/>
    </row>
    <row r="106" spans="1:19" s="140" customFormat="1" ht="15.75">
      <c r="A106" s="137"/>
      <c r="B106" s="137"/>
      <c r="C106" s="137"/>
      <c r="D106" s="137"/>
      <c r="E106" s="151"/>
      <c r="F106" s="151"/>
      <c r="I106" s="155"/>
      <c r="J106" s="137"/>
      <c r="S106" s="143"/>
    </row>
    <row r="107" spans="1:19" s="140" customFormat="1" ht="15.75">
      <c r="I107" s="151"/>
      <c r="J107" s="144"/>
      <c r="K107" s="151"/>
      <c r="L107" s="144"/>
      <c r="R107" s="143"/>
      <c r="S107" s="143"/>
    </row>
    <row r="108" spans="1:19" s="140" customFormat="1" ht="15.75">
      <c r="I108" s="151"/>
      <c r="J108" s="144"/>
      <c r="K108" s="151"/>
      <c r="L108" s="144"/>
      <c r="R108" s="143"/>
      <c r="S108" s="143"/>
    </row>
    <row r="109" spans="1:19" s="140" customFormat="1" ht="15.75">
      <c r="G109" s="144"/>
      <c r="I109" s="151"/>
      <c r="J109" s="144"/>
      <c r="K109" s="151"/>
      <c r="L109" s="144"/>
      <c r="R109" s="143"/>
      <c r="S109" s="143"/>
    </row>
    <row r="110" spans="1:19" s="140" customFormat="1">
      <c r="I110" s="161"/>
      <c r="K110" s="161"/>
      <c r="R110" s="143"/>
      <c r="S110" s="143"/>
    </row>
    <row r="111" spans="1:19" s="140" customFormat="1" ht="15.75">
      <c r="G111" s="144"/>
      <c r="I111" s="161"/>
      <c r="K111" s="161"/>
      <c r="R111" s="143"/>
      <c r="S111" s="143"/>
    </row>
    <row r="112" spans="1:19" s="140" customFormat="1" ht="15" customHeight="1">
      <c r="I112" s="161"/>
      <c r="K112" s="161"/>
      <c r="R112" s="143"/>
      <c r="S112" s="143"/>
    </row>
    <row r="113" spans="7:19" s="140" customFormat="1">
      <c r="I113" s="161"/>
      <c r="K113" s="161"/>
      <c r="R113" s="143"/>
      <c r="S113" s="143"/>
    </row>
    <row r="114" spans="7:19" s="140" customFormat="1" ht="15.75">
      <c r="G114" s="146"/>
      <c r="H114" s="150"/>
      <c r="I114" s="161"/>
      <c r="K114" s="161"/>
      <c r="R114" s="143"/>
      <c r="S114" s="143"/>
    </row>
    <row r="115" spans="7:19" s="140" customFormat="1">
      <c r="I115" s="161"/>
      <c r="K115" s="161"/>
      <c r="R115" s="143"/>
      <c r="S115" s="143"/>
    </row>
    <row r="116" spans="7:19" s="140" customFormat="1">
      <c r="I116" s="161"/>
      <c r="K116" s="161"/>
      <c r="R116" s="143"/>
      <c r="S116" s="143"/>
    </row>
    <row r="117" spans="7:19" s="140" customFormat="1">
      <c r="I117" s="161"/>
      <c r="K117" s="161"/>
      <c r="R117" s="143"/>
      <c r="S117" s="143"/>
    </row>
    <row r="118" spans="7:19" s="140" customFormat="1">
      <c r="I118" s="161"/>
      <c r="K118" s="161"/>
      <c r="R118" s="143"/>
      <c r="S118" s="143"/>
    </row>
    <row r="119" spans="7:19" s="140" customFormat="1">
      <c r="I119" s="161"/>
      <c r="K119" s="161"/>
      <c r="Q119" s="143"/>
      <c r="R119" s="143"/>
      <c r="S119" s="143"/>
    </row>
    <row r="120" spans="7:19" s="140" customFormat="1">
      <c r="I120" s="161"/>
      <c r="K120" s="161"/>
      <c r="Q120" s="143"/>
      <c r="R120" s="143"/>
      <c r="S120" s="143"/>
    </row>
    <row r="121" spans="7:19" s="140" customFormat="1">
      <c r="I121" s="161"/>
      <c r="K121" s="161"/>
      <c r="Q121" s="143"/>
      <c r="R121" s="143"/>
      <c r="S121" s="143"/>
    </row>
    <row r="122" spans="7:19" s="140" customFormat="1">
      <c r="I122" s="161"/>
      <c r="K122" s="161"/>
      <c r="Q122" s="143"/>
      <c r="R122" s="143"/>
      <c r="S122" s="143"/>
    </row>
    <row r="123" spans="7:19" s="140" customFormat="1">
      <c r="I123" s="161"/>
      <c r="K123" s="161"/>
      <c r="Q123" s="143"/>
      <c r="R123" s="143"/>
      <c r="S123" s="143"/>
    </row>
    <row r="124" spans="7:19" s="140" customFormat="1">
      <c r="I124" s="161"/>
      <c r="K124" s="161"/>
      <c r="Q124" s="143"/>
      <c r="R124" s="143"/>
      <c r="S124" s="143"/>
    </row>
    <row r="125" spans="7:19" s="140" customFormat="1">
      <c r="I125" s="161"/>
      <c r="K125" s="161"/>
      <c r="Q125" s="143"/>
      <c r="R125" s="143"/>
      <c r="S125" s="143"/>
    </row>
    <row r="126" spans="7:19" s="140" customFormat="1">
      <c r="I126" s="161"/>
      <c r="K126" s="161"/>
      <c r="Q126" s="143"/>
      <c r="R126" s="143"/>
      <c r="S126" s="143"/>
    </row>
    <row r="127" spans="7:19" s="140" customFormat="1">
      <c r="I127" s="161"/>
      <c r="K127" s="161"/>
      <c r="Q127" s="143"/>
      <c r="R127" s="143"/>
      <c r="S127" s="143"/>
    </row>
    <row r="128" spans="7:19" s="140" customFormat="1">
      <c r="I128" s="161"/>
      <c r="K128" s="161"/>
      <c r="Q128" s="143"/>
      <c r="R128" s="143"/>
      <c r="S128" s="143"/>
    </row>
    <row r="129" spans="6:19" s="140" customFormat="1">
      <c r="I129" s="161"/>
      <c r="K129" s="161"/>
      <c r="Q129" s="143"/>
      <c r="R129" s="143"/>
      <c r="S129" s="143"/>
    </row>
    <row r="130" spans="6:19" s="140" customFormat="1">
      <c r="F130" s="161"/>
      <c r="G130" s="161"/>
      <c r="I130" s="161"/>
      <c r="K130" s="161"/>
      <c r="Q130" s="143"/>
      <c r="R130" s="143"/>
      <c r="S130" s="143"/>
    </row>
    <row r="131" spans="6:19" s="140" customFormat="1">
      <c r="F131" s="161"/>
      <c r="G131" s="161"/>
      <c r="I131" s="161"/>
      <c r="K131" s="161"/>
      <c r="Q131" s="143"/>
      <c r="R131" s="143"/>
      <c r="S131" s="143"/>
    </row>
    <row r="132" spans="6:19" s="140" customFormat="1">
      <c r="F132" s="161"/>
      <c r="G132" s="161"/>
      <c r="I132" s="161"/>
      <c r="K132" s="161"/>
      <c r="Q132" s="143"/>
      <c r="R132" s="143"/>
      <c r="S132" s="143"/>
    </row>
    <row r="133" spans="6:19" s="140" customFormat="1">
      <c r="F133" s="161"/>
      <c r="G133" s="161"/>
      <c r="I133" s="161"/>
      <c r="K133" s="161"/>
      <c r="Q133" s="143"/>
      <c r="R133" s="143"/>
      <c r="S133" s="143"/>
    </row>
    <row r="134" spans="6:19" s="140" customFormat="1">
      <c r="F134" s="161"/>
      <c r="G134" s="161"/>
      <c r="I134" s="161"/>
      <c r="K134" s="161"/>
      <c r="Q134" s="143"/>
      <c r="R134" s="143"/>
      <c r="S134" s="143"/>
    </row>
    <row r="135" spans="6:19" s="140" customFormat="1">
      <c r="F135" s="161"/>
      <c r="G135" s="161"/>
      <c r="I135" s="161"/>
      <c r="K135" s="161"/>
      <c r="Q135" s="143"/>
      <c r="R135" s="143"/>
      <c r="S135" s="143"/>
    </row>
    <row r="136" spans="6:19" s="140" customFormat="1">
      <c r="F136" s="161"/>
      <c r="G136" s="161"/>
      <c r="I136" s="161"/>
      <c r="K136" s="161"/>
      <c r="Q136" s="143"/>
      <c r="R136" s="143"/>
      <c r="S136" s="143"/>
    </row>
    <row r="137" spans="6:19" s="140" customFormat="1">
      <c r="F137" s="161"/>
      <c r="G137" s="161"/>
      <c r="I137" s="161"/>
      <c r="K137" s="161"/>
      <c r="Q137" s="143"/>
      <c r="R137" s="143"/>
      <c r="S137" s="143"/>
    </row>
    <row r="138" spans="6:19" s="140" customFormat="1">
      <c r="F138" s="161"/>
      <c r="G138" s="161"/>
      <c r="I138" s="161"/>
      <c r="K138" s="161"/>
      <c r="Q138" s="143"/>
      <c r="R138" s="143"/>
      <c r="S138" s="143"/>
    </row>
    <row r="139" spans="6:19" s="140" customFormat="1">
      <c r="F139" s="161"/>
      <c r="G139" s="161"/>
      <c r="I139" s="161"/>
      <c r="K139" s="161"/>
      <c r="Q139" s="143"/>
      <c r="R139" s="143"/>
      <c r="S139" s="143"/>
    </row>
    <row r="140" spans="6:19" s="140" customFormat="1">
      <c r="F140" s="161"/>
      <c r="G140" s="161"/>
      <c r="I140" s="161"/>
      <c r="K140" s="161"/>
      <c r="Q140" s="143"/>
      <c r="R140" s="143"/>
      <c r="S140" s="143"/>
    </row>
    <row r="141" spans="6:19" s="140" customFormat="1">
      <c r="F141" s="161"/>
      <c r="G141" s="161"/>
      <c r="I141" s="161"/>
      <c r="K141" s="161"/>
      <c r="Q141" s="143"/>
      <c r="R141" s="143"/>
      <c r="S141" s="143"/>
    </row>
    <row r="142" spans="6:19" s="140" customFormat="1">
      <c r="F142" s="161"/>
      <c r="G142" s="161"/>
      <c r="I142" s="161"/>
      <c r="K142" s="161"/>
      <c r="Q142" s="143"/>
      <c r="R142" s="143"/>
      <c r="S142" s="143"/>
    </row>
    <row r="143" spans="6:19" s="140" customFormat="1">
      <c r="F143" s="161"/>
      <c r="G143" s="161"/>
      <c r="I143" s="161"/>
      <c r="K143" s="161"/>
      <c r="Q143" s="143"/>
      <c r="R143" s="143"/>
      <c r="S143" s="143"/>
    </row>
    <row r="144" spans="6:19" s="140" customFormat="1">
      <c r="F144" s="161"/>
      <c r="G144" s="161"/>
      <c r="I144" s="161"/>
      <c r="K144" s="161"/>
      <c r="Q144" s="143"/>
      <c r="R144" s="143"/>
      <c r="S144" s="143"/>
    </row>
    <row r="145" spans="6:19" s="140" customFormat="1">
      <c r="F145" s="161"/>
      <c r="G145" s="161"/>
      <c r="I145" s="161"/>
      <c r="K145" s="161"/>
      <c r="Q145" s="143"/>
      <c r="R145" s="143"/>
      <c r="S145" s="143"/>
    </row>
    <row r="146" spans="6:19" s="140" customFormat="1">
      <c r="F146" s="161"/>
      <c r="G146" s="161"/>
      <c r="I146" s="161"/>
      <c r="K146" s="161"/>
      <c r="Q146" s="143"/>
      <c r="R146" s="143"/>
      <c r="S146" s="143"/>
    </row>
    <row r="147" spans="6:19" s="140" customFormat="1">
      <c r="F147" s="161"/>
      <c r="G147" s="161"/>
      <c r="I147" s="161"/>
      <c r="K147" s="161"/>
      <c r="Q147" s="143"/>
      <c r="R147" s="143"/>
      <c r="S147" s="143"/>
    </row>
    <row r="148" spans="6:19" s="140" customFormat="1">
      <c r="F148" s="161"/>
      <c r="G148" s="161"/>
      <c r="I148" s="161"/>
      <c r="K148" s="161"/>
      <c r="Q148" s="143"/>
      <c r="R148" s="143"/>
      <c r="S148" s="143"/>
    </row>
    <row r="149" spans="6:19" s="140" customFormat="1">
      <c r="F149" s="161"/>
      <c r="G149" s="161"/>
      <c r="I149" s="161"/>
      <c r="K149" s="161"/>
      <c r="Q149" s="143"/>
      <c r="R149" s="143"/>
      <c r="S149" s="143"/>
    </row>
    <row r="150" spans="6:19" s="140" customFormat="1">
      <c r="F150" s="161"/>
      <c r="G150" s="161"/>
      <c r="I150" s="161"/>
      <c r="K150" s="161"/>
      <c r="Q150" s="143"/>
      <c r="R150" s="143"/>
      <c r="S150" s="143"/>
    </row>
    <row r="151" spans="6:19" s="140" customFormat="1">
      <c r="F151" s="161"/>
      <c r="G151" s="161"/>
      <c r="I151" s="161"/>
      <c r="K151" s="161"/>
      <c r="Q151" s="143"/>
      <c r="R151" s="143"/>
      <c r="S151" s="143"/>
    </row>
    <row r="152" spans="6:19" s="140" customFormat="1">
      <c r="F152" s="161"/>
      <c r="G152" s="161"/>
      <c r="I152" s="161"/>
      <c r="K152" s="161"/>
      <c r="Q152" s="143"/>
      <c r="R152" s="143"/>
      <c r="S152" s="143"/>
    </row>
    <row r="153" spans="6:19" s="140" customFormat="1">
      <c r="F153" s="161"/>
      <c r="G153" s="161"/>
      <c r="I153" s="161"/>
      <c r="K153" s="161"/>
      <c r="Q153" s="143"/>
      <c r="R153" s="143"/>
      <c r="S153" s="143"/>
    </row>
    <row r="154" spans="6:19" s="140" customFormat="1">
      <c r="F154" s="161"/>
      <c r="G154" s="161"/>
      <c r="I154" s="161"/>
      <c r="K154" s="161"/>
      <c r="Q154" s="143"/>
      <c r="R154" s="143"/>
      <c r="S154" s="143"/>
    </row>
    <row r="155" spans="6:19" s="140" customFormat="1">
      <c r="F155" s="161"/>
      <c r="G155" s="161"/>
      <c r="I155" s="161"/>
      <c r="K155" s="161"/>
      <c r="Q155" s="143"/>
      <c r="R155" s="143"/>
      <c r="S155" s="143"/>
    </row>
    <row r="156" spans="6:19" s="140" customFormat="1">
      <c r="F156" s="161"/>
      <c r="G156" s="161"/>
      <c r="I156" s="161"/>
      <c r="K156" s="161"/>
      <c r="Q156" s="143"/>
      <c r="R156" s="143"/>
      <c r="S156" s="143"/>
    </row>
    <row r="157" spans="6:19" s="140" customFormat="1">
      <c r="F157" s="161"/>
      <c r="G157" s="161"/>
      <c r="I157" s="161"/>
      <c r="K157" s="161"/>
      <c r="Q157" s="143"/>
      <c r="R157" s="143"/>
      <c r="S157" s="143"/>
    </row>
    <row r="158" spans="6:19" s="140" customFormat="1">
      <c r="F158" s="161"/>
      <c r="G158" s="161"/>
      <c r="I158" s="161"/>
      <c r="K158" s="161"/>
      <c r="Q158" s="143"/>
      <c r="R158" s="143"/>
      <c r="S158" s="143"/>
    </row>
    <row r="159" spans="6:19" s="140" customFormat="1">
      <c r="F159" s="161"/>
      <c r="G159" s="161"/>
      <c r="I159" s="161"/>
      <c r="K159" s="161"/>
      <c r="Q159" s="143"/>
      <c r="R159" s="143"/>
      <c r="S159" s="143"/>
    </row>
    <row r="160" spans="6:19" s="140" customFormat="1">
      <c r="F160" s="161"/>
      <c r="G160" s="161"/>
      <c r="I160" s="161"/>
      <c r="K160" s="161"/>
      <c r="Q160" s="143"/>
      <c r="R160" s="143"/>
      <c r="S160" s="143"/>
    </row>
    <row r="161" spans="6:19" s="140" customFormat="1">
      <c r="F161" s="161"/>
      <c r="G161" s="161"/>
      <c r="I161" s="161"/>
      <c r="K161" s="161"/>
      <c r="Q161" s="143"/>
      <c r="R161" s="143"/>
      <c r="S161" s="143"/>
    </row>
    <row r="162" spans="6:19" s="140" customFormat="1">
      <c r="F162" s="161"/>
      <c r="G162" s="161"/>
      <c r="I162" s="161"/>
      <c r="K162" s="161"/>
      <c r="Q162" s="143"/>
      <c r="R162" s="143"/>
      <c r="S162" s="143"/>
    </row>
    <row r="163" spans="6:19" s="140" customFormat="1">
      <c r="F163" s="161"/>
      <c r="G163" s="161"/>
      <c r="I163" s="161"/>
      <c r="K163" s="161"/>
      <c r="Q163" s="143"/>
      <c r="R163" s="143"/>
      <c r="S163" s="143"/>
    </row>
    <row r="164" spans="6:19" s="140" customFormat="1">
      <c r="F164" s="161"/>
      <c r="G164" s="161"/>
      <c r="I164" s="161"/>
      <c r="K164" s="161"/>
      <c r="Q164" s="143"/>
      <c r="R164" s="143"/>
      <c r="S164" s="143"/>
    </row>
    <row r="165" spans="6:19" s="140" customFormat="1">
      <c r="F165" s="161"/>
      <c r="G165" s="161"/>
      <c r="I165" s="161"/>
      <c r="K165" s="161"/>
      <c r="Q165" s="143"/>
      <c r="R165" s="143"/>
      <c r="S165" s="143"/>
    </row>
    <row r="166" spans="6:19" s="140" customFormat="1">
      <c r="F166" s="161"/>
      <c r="G166" s="161"/>
      <c r="I166" s="161"/>
      <c r="K166" s="161"/>
      <c r="Q166" s="143"/>
      <c r="R166" s="143"/>
      <c r="S166" s="143"/>
    </row>
    <row r="167" spans="6:19" s="140" customFormat="1">
      <c r="F167" s="161"/>
      <c r="G167" s="161"/>
      <c r="I167" s="161"/>
      <c r="K167" s="161"/>
      <c r="Q167" s="143"/>
      <c r="R167" s="143"/>
      <c r="S167" s="143"/>
    </row>
    <row r="168" spans="6:19" s="140" customFormat="1">
      <c r="F168" s="161"/>
      <c r="G168" s="161"/>
      <c r="I168" s="161"/>
      <c r="K168" s="161"/>
      <c r="Q168" s="143"/>
      <c r="R168" s="143"/>
      <c r="S168" s="143"/>
    </row>
    <row r="169" spans="6:19" s="140" customFormat="1">
      <c r="F169" s="161"/>
      <c r="G169" s="161"/>
      <c r="I169" s="161"/>
      <c r="K169" s="161"/>
      <c r="Q169" s="143"/>
      <c r="R169" s="143"/>
      <c r="S169" s="143"/>
    </row>
    <row r="170" spans="6:19" s="140" customFormat="1">
      <c r="F170" s="161"/>
      <c r="G170" s="161"/>
      <c r="I170" s="161"/>
      <c r="K170" s="161"/>
      <c r="Q170" s="143"/>
      <c r="R170" s="143"/>
      <c r="S170" s="143"/>
    </row>
    <row r="171" spans="6:19" s="140" customFormat="1">
      <c r="F171" s="161"/>
      <c r="G171" s="161"/>
      <c r="I171" s="161"/>
      <c r="K171" s="161"/>
      <c r="Q171" s="143"/>
      <c r="R171" s="143"/>
      <c r="S171" s="143"/>
    </row>
    <row r="172" spans="6:19" s="140" customFormat="1">
      <c r="F172" s="161"/>
      <c r="G172" s="161"/>
      <c r="I172" s="161"/>
      <c r="K172" s="161"/>
      <c r="Q172" s="143"/>
      <c r="R172" s="143"/>
      <c r="S172" s="143"/>
    </row>
    <row r="173" spans="6:19" s="140" customFormat="1">
      <c r="F173" s="161"/>
      <c r="G173" s="161"/>
      <c r="I173" s="161"/>
      <c r="K173" s="161"/>
      <c r="Q173" s="143"/>
      <c r="R173" s="143"/>
      <c r="S173" s="143"/>
    </row>
    <row r="174" spans="6:19" s="140" customFormat="1">
      <c r="F174" s="161"/>
      <c r="G174" s="161"/>
      <c r="I174" s="161"/>
      <c r="K174" s="161"/>
      <c r="Q174" s="143"/>
      <c r="R174" s="143"/>
      <c r="S174" s="143"/>
    </row>
    <row r="175" spans="6:19" s="140" customFormat="1">
      <c r="F175" s="161"/>
      <c r="G175" s="161"/>
      <c r="I175" s="161"/>
      <c r="K175" s="161"/>
      <c r="P175" s="141"/>
      <c r="Q175" s="143"/>
      <c r="R175" s="143"/>
      <c r="S175" s="143"/>
    </row>
    <row r="176" spans="6:19" s="140" customFormat="1">
      <c r="F176" s="161"/>
      <c r="G176" s="161"/>
      <c r="I176" s="161"/>
      <c r="K176" s="161"/>
      <c r="P176" s="141"/>
      <c r="Q176" s="143"/>
      <c r="R176" s="143"/>
      <c r="S176" s="143"/>
    </row>
    <row r="177" spans="1:28" s="140" customFormat="1">
      <c r="F177" s="161"/>
      <c r="G177" s="161"/>
      <c r="I177" s="161"/>
      <c r="K177" s="161"/>
      <c r="P177" s="141"/>
      <c r="Q177" s="143"/>
      <c r="R177" s="143"/>
      <c r="S177" s="143"/>
    </row>
    <row r="178" spans="1:28" s="140" customFormat="1">
      <c r="F178" s="161"/>
      <c r="G178" s="161"/>
      <c r="I178" s="161"/>
      <c r="K178" s="161"/>
      <c r="P178" s="141"/>
      <c r="Q178" s="143"/>
      <c r="R178" s="143"/>
      <c r="S178" s="143"/>
    </row>
    <row r="179" spans="1:28" s="140" customFormat="1">
      <c r="F179" s="161"/>
      <c r="G179" s="161"/>
      <c r="I179" s="161"/>
      <c r="K179" s="161"/>
      <c r="P179" s="141"/>
      <c r="Q179" s="143"/>
      <c r="R179" s="143"/>
      <c r="S179" s="143"/>
    </row>
    <row r="180" spans="1:28" s="140" customFormat="1">
      <c r="F180" s="161"/>
      <c r="G180" s="161"/>
      <c r="I180" s="161"/>
      <c r="K180" s="161"/>
      <c r="P180" s="141"/>
      <c r="Q180" s="143"/>
      <c r="R180" s="143"/>
      <c r="S180" s="143"/>
    </row>
    <row r="181" spans="1:28" s="140" customFormat="1">
      <c r="F181" s="161"/>
      <c r="G181" s="161"/>
      <c r="I181" s="161"/>
      <c r="K181" s="161"/>
      <c r="P181" s="141"/>
      <c r="Q181" s="143"/>
      <c r="R181" s="143"/>
      <c r="S181" s="143"/>
    </row>
    <row r="182" spans="1:28" s="140" customFormat="1">
      <c r="F182" s="161"/>
      <c r="G182" s="161"/>
      <c r="I182" s="161"/>
      <c r="K182" s="161"/>
      <c r="P182" s="141"/>
      <c r="Q182" s="143"/>
      <c r="R182" s="143"/>
      <c r="S182" s="143"/>
    </row>
    <row r="183" spans="1:28" s="140" customFormat="1">
      <c r="F183" s="161"/>
      <c r="G183" s="161"/>
      <c r="I183" s="161"/>
      <c r="K183" s="161"/>
      <c r="P183" s="138"/>
      <c r="Q183" s="143"/>
      <c r="R183" s="143"/>
      <c r="S183" s="143"/>
    </row>
    <row r="184" spans="1:28">
      <c r="A184" s="140"/>
      <c r="B184" s="140"/>
      <c r="C184" s="140"/>
      <c r="D184" s="140"/>
      <c r="E184" s="140"/>
      <c r="F184" s="161"/>
      <c r="G184" s="161"/>
      <c r="H184" s="140"/>
      <c r="I184" s="161"/>
      <c r="J184" s="140"/>
      <c r="K184" s="161"/>
      <c r="L184" s="140"/>
      <c r="M184" s="140"/>
      <c r="N184" s="140"/>
      <c r="O184" s="140"/>
      <c r="P184" s="138"/>
      <c r="Q184" s="138"/>
      <c r="R184" s="138"/>
      <c r="S184" s="138"/>
      <c r="T184" s="138"/>
      <c r="U184" s="138"/>
      <c r="V184" s="138"/>
      <c r="W184" s="138"/>
      <c r="X184" s="138"/>
      <c r="Y184" s="138"/>
      <c r="Z184" s="138"/>
      <c r="AA184" s="138"/>
      <c r="AB184" s="138"/>
    </row>
    <row r="185" spans="1:28">
      <c r="A185" s="140"/>
      <c r="B185" s="140"/>
      <c r="C185" s="140"/>
      <c r="D185" s="140"/>
      <c r="E185" s="140"/>
      <c r="F185" s="161"/>
      <c r="G185" s="161"/>
      <c r="H185" s="140"/>
      <c r="I185" s="161"/>
      <c r="J185" s="140"/>
      <c r="K185" s="161"/>
      <c r="L185" s="140"/>
      <c r="M185" s="140"/>
      <c r="N185" s="140"/>
      <c r="O185" s="140"/>
      <c r="P185" s="138"/>
      <c r="Q185" s="138"/>
      <c r="R185" s="138"/>
      <c r="S185" s="138"/>
      <c r="T185" s="138"/>
      <c r="U185" s="138"/>
      <c r="V185" s="138"/>
      <c r="W185" s="138"/>
      <c r="X185" s="138"/>
      <c r="Y185" s="138"/>
      <c r="Z185" s="138"/>
      <c r="AA185" s="138"/>
      <c r="AB185" s="138"/>
    </row>
    <row r="186" spans="1:28">
      <c r="A186" s="140"/>
      <c r="B186" s="140"/>
      <c r="C186" s="140"/>
      <c r="D186" s="140"/>
      <c r="E186" s="140"/>
      <c r="F186" s="161"/>
      <c r="G186" s="161"/>
      <c r="H186" s="140"/>
      <c r="I186" s="161"/>
      <c r="J186" s="140"/>
      <c r="K186" s="161"/>
      <c r="L186" s="140"/>
      <c r="M186" s="140"/>
      <c r="N186" s="140"/>
      <c r="O186" s="140"/>
      <c r="P186" s="138"/>
      <c r="Q186" s="138"/>
      <c r="R186" s="138"/>
      <c r="S186" s="138"/>
      <c r="T186" s="138"/>
      <c r="U186" s="138"/>
      <c r="V186" s="138"/>
      <c r="W186" s="138"/>
      <c r="X186" s="138"/>
      <c r="Y186" s="138"/>
      <c r="Z186" s="138"/>
      <c r="AA186" s="138"/>
      <c r="AB186" s="138"/>
    </row>
    <row r="187" spans="1:28">
      <c r="A187" s="140"/>
      <c r="B187" s="140"/>
      <c r="C187" s="140"/>
      <c r="D187" s="140"/>
      <c r="E187" s="140"/>
      <c r="F187" s="161"/>
      <c r="G187" s="161"/>
      <c r="H187" s="140"/>
      <c r="I187" s="161"/>
      <c r="J187" s="140"/>
      <c r="K187" s="161"/>
      <c r="L187" s="140"/>
      <c r="M187" s="140"/>
      <c r="N187" s="140"/>
      <c r="O187" s="140"/>
      <c r="P187" s="138"/>
      <c r="Q187" s="138"/>
      <c r="R187" s="138"/>
      <c r="S187" s="138"/>
      <c r="T187" s="138"/>
      <c r="U187" s="138"/>
      <c r="V187" s="138"/>
      <c r="W187" s="138"/>
      <c r="X187" s="138"/>
      <c r="Y187" s="138"/>
      <c r="Z187" s="138"/>
      <c r="AA187" s="138"/>
      <c r="AB187" s="138"/>
    </row>
    <row r="188" spans="1:28">
      <c r="A188" s="140"/>
      <c r="B188" s="140"/>
      <c r="C188" s="140"/>
      <c r="D188" s="140"/>
      <c r="E188" s="140"/>
      <c r="F188" s="161"/>
      <c r="G188" s="161"/>
      <c r="H188" s="140"/>
      <c r="I188" s="161"/>
      <c r="J188" s="140"/>
      <c r="K188" s="161"/>
      <c r="L188" s="140"/>
      <c r="M188" s="140"/>
      <c r="N188" s="140"/>
      <c r="O188" s="140"/>
      <c r="P188" s="138"/>
      <c r="Q188" s="138"/>
      <c r="R188" s="138"/>
      <c r="S188" s="138"/>
      <c r="T188" s="138"/>
      <c r="U188" s="138"/>
      <c r="V188" s="138"/>
      <c r="W188" s="138"/>
      <c r="X188" s="138"/>
      <c r="Y188" s="138"/>
      <c r="Z188" s="138"/>
      <c r="AA188" s="138"/>
      <c r="AB188" s="138"/>
    </row>
    <row r="189" spans="1:28">
      <c r="A189" s="140"/>
      <c r="B189" s="140"/>
      <c r="C189" s="140"/>
      <c r="D189" s="140"/>
      <c r="E189" s="140"/>
      <c r="F189" s="161"/>
      <c r="G189" s="161"/>
      <c r="H189" s="140"/>
      <c r="I189" s="161"/>
      <c r="J189" s="140"/>
      <c r="K189" s="161"/>
      <c r="L189" s="140"/>
      <c r="M189" s="140"/>
      <c r="N189" s="140"/>
      <c r="O189" s="140"/>
      <c r="P189" s="138"/>
      <c r="Q189" s="138"/>
      <c r="R189" s="138"/>
      <c r="S189" s="138"/>
      <c r="T189" s="138"/>
      <c r="U189" s="138"/>
      <c r="V189" s="138"/>
      <c r="W189" s="138"/>
      <c r="X189" s="138"/>
      <c r="Y189" s="138"/>
      <c r="Z189" s="138"/>
      <c r="AA189" s="138"/>
      <c r="AB189" s="138"/>
    </row>
    <row r="190" spans="1:28">
      <c r="A190" s="140"/>
      <c r="B190" s="140"/>
      <c r="C190" s="140"/>
      <c r="D190" s="140"/>
      <c r="E190" s="140"/>
      <c r="F190" s="161"/>
      <c r="G190" s="161"/>
      <c r="H190" s="140"/>
      <c r="I190" s="161"/>
      <c r="J190" s="140"/>
      <c r="K190" s="161"/>
      <c r="L190" s="140"/>
      <c r="M190" s="140"/>
      <c r="N190" s="140"/>
      <c r="O190" s="140"/>
      <c r="P190" s="138"/>
      <c r="Q190" s="138"/>
      <c r="R190" s="138"/>
      <c r="S190" s="138"/>
      <c r="T190" s="138"/>
      <c r="U190" s="138"/>
      <c r="V190" s="138"/>
      <c r="W190" s="138"/>
      <c r="X190" s="138"/>
      <c r="Y190" s="138"/>
      <c r="Z190" s="138"/>
      <c r="AA190" s="138"/>
      <c r="AB190" s="138"/>
    </row>
    <row r="191" spans="1:28">
      <c r="A191" s="140"/>
      <c r="B191" s="140"/>
      <c r="C191" s="140"/>
      <c r="D191" s="140"/>
      <c r="E191" s="140"/>
      <c r="F191" s="161"/>
      <c r="G191" s="161"/>
      <c r="H191" s="140"/>
      <c r="I191" s="161"/>
      <c r="J191" s="140"/>
      <c r="K191" s="161"/>
      <c r="L191" s="140"/>
      <c r="M191" s="140"/>
      <c r="N191" s="140"/>
      <c r="O191" s="140"/>
      <c r="P191" s="138"/>
      <c r="Q191" s="138"/>
      <c r="R191" s="138"/>
      <c r="S191" s="138"/>
      <c r="T191" s="138"/>
      <c r="U191" s="138"/>
      <c r="V191" s="138"/>
      <c r="W191" s="138"/>
      <c r="X191" s="138"/>
      <c r="Y191" s="138"/>
      <c r="Z191" s="138"/>
      <c r="AA191" s="138"/>
      <c r="AB191" s="138"/>
    </row>
    <row r="192" spans="1:28">
      <c r="A192" s="140"/>
      <c r="B192" s="140"/>
      <c r="C192" s="140"/>
      <c r="D192" s="140"/>
      <c r="E192" s="140"/>
      <c r="F192" s="161"/>
      <c r="G192" s="161"/>
      <c r="H192" s="140"/>
      <c r="I192" s="161"/>
      <c r="J192" s="140"/>
      <c r="K192" s="161"/>
      <c r="L192" s="140"/>
      <c r="M192" s="140"/>
      <c r="N192" s="140"/>
      <c r="O192" s="140"/>
      <c r="P192" s="138"/>
      <c r="Q192" s="138"/>
      <c r="R192" s="138"/>
      <c r="S192" s="138"/>
      <c r="T192" s="138"/>
      <c r="U192" s="138"/>
      <c r="V192" s="138"/>
      <c r="W192" s="138"/>
      <c r="X192" s="138"/>
      <c r="Y192" s="138"/>
      <c r="Z192" s="138"/>
      <c r="AA192" s="138"/>
      <c r="AB192" s="138"/>
    </row>
    <row r="193" spans="1:28">
      <c r="A193" s="140"/>
      <c r="B193" s="140"/>
      <c r="C193" s="140"/>
      <c r="D193" s="140"/>
      <c r="E193" s="140"/>
      <c r="F193" s="161"/>
      <c r="G193" s="161"/>
      <c r="H193" s="140"/>
      <c r="I193" s="161"/>
      <c r="J193" s="140"/>
      <c r="K193" s="161"/>
      <c r="L193" s="140"/>
      <c r="M193" s="140"/>
      <c r="N193" s="140"/>
      <c r="O193" s="140"/>
      <c r="P193" s="138"/>
      <c r="Q193" s="138"/>
      <c r="R193" s="138"/>
      <c r="S193" s="138"/>
      <c r="T193" s="138"/>
      <c r="U193" s="138"/>
      <c r="V193" s="138"/>
      <c r="W193" s="138"/>
      <c r="X193" s="138"/>
      <c r="Y193" s="138"/>
      <c r="Z193" s="138"/>
      <c r="AA193" s="138"/>
      <c r="AB193" s="138"/>
    </row>
    <row r="194" spans="1:28">
      <c r="A194" s="140"/>
      <c r="B194" s="140"/>
      <c r="C194" s="140"/>
      <c r="D194" s="140"/>
      <c r="E194" s="140"/>
      <c r="F194" s="161"/>
      <c r="G194" s="161"/>
      <c r="H194" s="140"/>
      <c r="I194" s="161"/>
      <c r="J194" s="140"/>
      <c r="K194" s="161"/>
      <c r="L194" s="140"/>
      <c r="M194" s="140"/>
      <c r="N194" s="140"/>
      <c r="O194" s="140"/>
      <c r="P194" s="138"/>
      <c r="Q194" s="138"/>
      <c r="R194" s="138"/>
      <c r="S194" s="138"/>
      <c r="T194" s="138"/>
      <c r="U194" s="138"/>
      <c r="V194" s="138"/>
      <c r="W194" s="138"/>
      <c r="X194" s="138"/>
      <c r="Y194" s="138"/>
      <c r="Z194" s="138"/>
      <c r="AA194" s="138"/>
      <c r="AB194" s="138"/>
    </row>
    <row r="195" spans="1:28">
      <c r="A195" s="140"/>
      <c r="B195" s="140"/>
      <c r="C195" s="140"/>
      <c r="D195" s="140"/>
      <c r="E195" s="140"/>
      <c r="F195" s="161"/>
      <c r="G195" s="161"/>
      <c r="H195" s="140"/>
      <c r="I195" s="161"/>
      <c r="J195" s="140"/>
      <c r="K195" s="161"/>
      <c r="L195" s="140"/>
      <c r="M195" s="140"/>
      <c r="N195" s="140"/>
      <c r="O195" s="140"/>
      <c r="P195" s="138"/>
      <c r="Q195" s="138"/>
      <c r="R195" s="138"/>
      <c r="S195" s="138"/>
      <c r="T195" s="138"/>
      <c r="U195" s="138"/>
      <c r="V195" s="138"/>
      <c r="W195" s="138"/>
      <c r="X195" s="138"/>
      <c r="Y195" s="138"/>
      <c r="Z195" s="138"/>
      <c r="AA195" s="138"/>
      <c r="AB195" s="138"/>
    </row>
    <row r="196" spans="1:28">
      <c r="A196" s="140"/>
      <c r="B196" s="140"/>
      <c r="C196" s="140"/>
      <c r="D196" s="140"/>
      <c r="E196" s="140"/>
      <c r="F196" s="161"/>
      <c r="G196" s="161"/>
      <c r="H196" s="140"/>
      <c r="I196" s="161"/>
      <c r="J196" s="140"/>
      <c r="K196" s="161"/>
      <c r="L196" s="140"/>
      <c r="M196" s="140"/>
      <c r="N196" s="140"/>
      <c r="O196" s="140"/>
      <c r="P196" s="138"/>
      <c r="Q196" s="138"/>
      <c r="R196" s="138"/>
      <c r="S196" s="138"/>
      <c r="T196" s="138"/>
      <c r="U196" s="138"/>
      <c r="V196" s="138"/>
      <c r="W196" s="138"/>
      <c r="X196" s="138"/>
      <c r="Y196" s="138"/>
      <c r="Z196" s="138"/>
      <c r="AA196" s="138"/>
      <c r="AB196" s="138"/>
    </row>
    <row r="197" spans="1:28">
      <c r="A197" s="140"/>
      <c r="B197" s="140"/>
      <c r="C197" s="140"/>
      <c r="D197" s="140"/>
      <c r="E197" s="140"/>
      <c r="F197" s="161"/>
      <c r="G197" s="161"/>
      <c r="H197" s="140"/>
      <c r="I197" s="161"/>
      <c r="J197" s="140"/>
      <c r="K197" s="161"/>
      <c r="L197" s="140"/>
      <c r="M197" s="140"/>
      <c r="N197" s="140"/>
      <c r="O197" s="140"/>
      <c r="P197" s="138"/>
      <c r="Q197" s="138"/>
      <c r="R197" s="138"/>
      <c r="S197" s="138"/>
      <c r="T197" s="138"/>
      <c r="U197" s="138"/>
      <c r="V197" s="138"/>
      <c r="W197" s="138"/>
      <c r="X197" s="138"/>
      <c r="Y197" s="138"/>
      <c r="Z197" s="138"/>
      <c r="AA197" s="138"/>
      <c r="AB197" s="138"/>
    </row>
    <row r="198" spans="1:28">
      <c r="A198" s="140"/>
      <c r="B198" s="140"/>
      <c r="C198" s="140"/>
      <c r="D198" s="140"/>
      <c r="E198" s="140"/>
      <c r="F198" s="161"/>
      <c r="G198" s="161"/>
      <c r="H198" s="140"/>
      <c r="I198" s="161"/>
      <c r="J198" s="140"/>
      <c r="K198" s="161"/>
      <c r="L198" s="140"/>
      <c r="M198" s="140"/>
      <c r="N198" s="140"/>
      <c r="O198" s="140"/>
      <c r="P198" s="138"/>
      <c r="Q198" s="138"/>
      <c r="R198" s="138"/>
      <c r="S198" s="138"/>
      <c r="T198" s="138"/>
      <c r="U198" s="138"/>
      <c r="V198" s="138"/>
      <c r="W198" s="138"/>
      <c r="X198" s="138"/>
      <c r="Y198" s="138"/>
      <c r="Z198" s="138"/>
      <c r="AA198" s="138"/>
      <c r="AB198" s="138"/>
    </row>
    <row r="199" spans="1:28">
      <c r="A199" s="140"/>
      <c r="B199" s="140"/>
      <c r="C199" s="140"/>
      <c r="D199" s="140"/>
      <c r="E199" s="140"/>
      <c r="F199" s="161"/>
      <c r="G199" s="161"/>
      <c r="H199" s="140"/>
      <c r="I199" s="161"/>
      <c r="J199" s="140"/>
      <c r="K199" s="161"/>
      <c r="L199" s="140"/>
      <c r="M199" s="140"/>
      <c r="N199" s="140"/>
      <c r="O199" s="140"/>
      <c r="P199" s="138"/>
      <c r="Q199" s="138"/>
      <c r="R199" s="138"/>
      <c r="S199" s="138"/>
      <c r="T199" s="138"/>
      <c r="U199" s="138"/>
      <c r="V199" s="138"/>
      <c r="W199" s="138"/>
      <c r="X199" s="138"/>
      <c r="Y199" s="138"/>
      <c r="Z199" s="138"/>
      <c r="AA199" s="138"/>
      <c r="AB199" s="138"/>
    </row>
    <row r="200" spans="1:28">
      <c r="A200" s="140"/>
      <c r="B200" s="140"/>
      <c r="C200" s="140"/>
      <c r="D200" s="140"/>
      <c r="E200" s="140"/>
      <c r="F200" s="161"/>
      <c r="G200" s="161"/>
      <c r="H200" s="140"/>
      <c r="I200" s="161"/>
      <c r="J200" s="140"/>
      <c r="K200" s="161"/>
      <c r="L200" s="140"/>
      <c r="M200" s="140"/>
      <c r="N200" s="140"/>
      <c r="O200" s="140"/>
      <c r="P200" s="138"/>
      <c r="Q200" s="138"/>
      <c r="R200" s="138"/>
      <c r="S200" s="138"/>
      <c r="T200" s="138"/>
      <c r="U200" s="138"/>
      <c r="V200" s="138"/>
      <c r="W200" s="138"/>
      <c r="X200" s="138"/>
      <c r="Y200" s="138"/>
      <c r="Z200" s="138"/>
      <c r="AA200" s="138"/>
      <c r="AB200" s="138"/>
    </row>
    <row r="201" spans="1:28">
      <c r="A201" s="140"/>
      <c r="B201" s="140"/>
      <c r="C201" s="140"/>
      <c r="D201" s="140"/>
      <c r="E201" s="140"/>
      <c r="F201" s="161"/>
      <c r="G201" s="161"/>
      <c r="H201" s="140"/>
      <c r="I201" s="161"/>
      <c r="J201" s="140"/>
      <c r="K201" s="161"/>
      <c r="L201" s="140"/>
      <c r="M201" s="140"/>
      <c r="N201" s="140"/>
      <c r="O201" s="140"/>
      <c r="P201" s="138"/>
      <c r="Q201" s="138"/>
      <c r="R201" s="138"/>
      <c r="S201" s="138"/>
      <c r="T201" s="138"/>
      <c r="U201" s="138"/>
      <c r="V201" s="138"/>
      <c r="W201" s="138"/>
      <c r="X201" s="138"/>
      <c r="Y201" s="138"/>
      <c r="Z201" s="138"/>
      <c r="AA201" s="138"/>
      <c r="AB201" s="138"/>
    </row>
    <row r="202" spans="1:28">
      <c r="A202" s="140"/>
      <c r="B202" s="140"/>
      <c r="C202" s="140"/>
      <c r="D202" s="140"/>
      <c r="E202" s="140"/>
      <c r="F202" s="161"/>
      <c r="G202" s="161"/>
      <c r="H202" s="140"/>
      <c r="I202" s="161"/>
      <c r="J202" s="140"/>
      <c r="K202" s="161"/>
      <c r="L202" s="140"/>
      <c r="M202" s="140"/>
      <c r="N202" s="140"/>
      <c r="O202" s="140"/>
      <c r="P202" s="138"/>
      <c r="Q202" s="138"/>
      <c r="R202" s="138"/>
      <c r="S202" s="138"/>
      <c r="T202" s="138"/>
      <c r="U202" s="138"/>
      <c r="V202" s="138"/>
      <c r="W202" s="138"/>
      <c r="X202" s="138"/>
      <c r="Y202" s="138"/>
      <c r="Z202" s="138"/>
      <c r="AA202" s="138"/>
      <c r="AB202" s="138"/>
    </row>
    <row r="203" spans="1:28">
      <c r="A203" s="140"/>
      <c r="B203" s="140"/>
      <c r="C203" s="140"/>
      <c r="D203" s="140"/>
      <c r="E203" s="140"/>
      <c r="F203" s="161"/>
      <c r="G203" s="161"/>
      <c r="H203" s="140"/>
      <c r="I203" s="161"/>
      <c r="J203" s="140"/>
      <c r="K203" s="161"/>
      <c r="L203" s="140"/>
      <c r="M203" s="140"/>
      <c r="N203" s="140"/>
      <c r="O203" s="140"/>
      <c r="P203" s="138"/>
      <c r="Q203" s="138"/>
      <c r="R203" s="138"/>
      <c r="S203" s="138"/>
      <c r="T203" s="138"/>
      <c r="U203" s="138"/>
      <c r="V203" s="138"/>
      <c r="W203" s="138"/>
      <c r="X203" s="138"/>
      <c r="Y203" s="138"/>
      <c r="Z203" s="138"/>
      <c r="AA203" s="138"/>
      <c r="AB203" s="138"/>
    </row>
    <row r="204" spans="1:28">
      <c r="A204" s="140"/>
      <c r="B204" s="140"/>
      <c r="C204" s="140"/>
      <c r="D204" s="140"/>
      <c r="E204" s="140"/>
      <c r="F204" s="161"/>
      <c r="G204" s="161"/>
      <c r="H204" s="140"/>
      <c r="I204" s="161"/>
      <c r="J204" s="140"/>
      <c r="K204" s="161"/>
      <c r="L204" s="140"/>
      <c r="M204" s="140"/>
      <c r="N204" s="140"/>
      <c r="O204" s="140"/>
      <c r="P204" s="138"/>
      <c r="Q204" s="138"/>
      <c r="R204" s="138"/>
      <c r="S204" s="138"/>
      <c r="T204" s="138"/>
      <c r="U204" s="138"/>
      <c r="V204" s="138"/>
      <c r="W204" s="138"/>
      <c r="X204" s="138"/>
      <c r="Y204" s="138"/>
      <c r="Z204" s="138"/>
      <c r="AA204" s="138"/>
      <c r="AB204" s="138"/>
    </row>
    <row r="205" spans="1:28">
      <c r="A205" s="140"/>
      <c r="B205" s="140"/>
      <c r="C205" s="140"/>
      <c r="D205" s="140"/>
      <c r="E205" s="140"/>
      <c r="F205" s="161"/>
      <c r="G205" s="161"/>
      <c r="H205" s="140"/>
      <c r="I205" s="161"/>
      <c r="J205" s="140"/>
      <c r="K205" s="161"/>
      <c r="L205" s="140"/>
      <c r="M205" s="140"/>
      <c r="N205" s="140"/>
      <c r="O205" s="140"/>
      <c r="P205" s="138"/>
      <c r="Q205" s="138"/>
      <c r="R205" s="138"/>
      <c r="S205" s="138"/>
      <c r="T205" s="138"/>
      <c r="U205" s="138"/>
      <c r="V205" s="138"/>
      <c r="W205" s="138"/>
      <c r="X205" s="138"/>
      <c r="Y205" s="138"/>
      <c r="Z205" s="138"/>
      <c r="AA205" s="138"/>
      <c r="AB205" s="138"/>
    </row>
    <row r="206" spans="1:28">
      <c r="A206" s="140"/>
      <c r="B206" s="140"/>
      <c r="C206" s="140"/>
      <c r="D206" s="140"/>
      <c r="E206" s="140"/>
      <c r="F206" s="161"/>
      <c r="G206" s="161"/>
      <c r="H206" s="140"/>
      <c r="I206" s="161"/>
      <c r="J206" s="140"/>
      <c r="K206" s="161"/>
      <c r="L206" s="140"/>
      <c r="M206" s="140"/>
      <c r="N206" s="140"/>
      <c r="O206" s="140"/>
      <c r="P206" s="138"/>
      <c r="Q206" s="138"/>
      <c r="R206" s="138"/>
      <c r="S206" s="138"/>
      <c r="T206" s="138"/>
      <c r="U206" s="138"/>
      <c r="V206" s="138"/>
      <c r="W206" s="138"/>
      <c r="X206" s="138"/>
      <c r="Y206" s="138"/>
      <c r="Z206" s="138"/>
      <c r="AA206" s="138"/>
      <c r="AB206" s="138"/>
    </row>
    <row r="207" spans="1:28">
      <c r="A207" s="140"/>
      <c r="B207" s="140"/>
      <c r="C207" s="140"/>
      <c r="D207" s="140"/>
      <c r="E207" s="140"/>
      <c r="F207" s="161"/>
      <c r="G207" s="161"/>
      <c r="H207" s="140"/>
      <c r="I207" s="161"/>
      <c r="J207" s="140"/>
      <c r="K207" s="161"/>
      <c r="L207" s="140"/>
      <c r="M207" s="140"/>
      <c r="N207" s="140"/>
      <c r="O207" s="140"/>
      <c r="P207" s="138"/>
      <c r="Q207" s="138"/>
      <c r="R207" s="138"/>
      <c r="S207" s="138"/>
      <c r="T207" s="138"/>
      <c r="U207" s="138"/>
      <c r="V207" s="138"/>
      <c r="W207" s="138"/>
      <c r="X207" s="138"/>
      <c r="Y207" s="138"/>
      <c r="Z207" s="138"/>
      <c r="AA207" s="138"/>
      <c r="AB207" s="138"/>
    </row>
    <row r="208" spans="1:28">
      <c r="A208" s="140"/>
      <c r="B208" s="140"/>
      <c r="C208" s="140"/>
      <c r="D208" s="140"/>
      <c r="E208" s="140"/>
      <c r="F208" s="161"/>
      <c r="G208" s="161"/>
      <c r="H208" s="140"/>
      <c r="I208" s="161"/>
      <c r="J208" s="140"/>
      <c r="K208" s="161"/>
      <c r="L208" s="140"/>
      <c r="M208" s="140"/>
      <c r="N208" s="140"/>
      <c r="O208" s="140"/>
      <c r="P208" s="138"/>
      <c r="Q208" s="138"/>
      <c r="R208" s="138"/>
      <c r="S208" s="138"/>
      <c r="T208" s="138"/>
      <c r="U208" s="138"/>
      <c r="V208" s="138"/>
      <c r="W208" s="138"/>
      <c r="X208" s="138"/>
      <c r="Y208" s="138"/>
      <c r="Z208" s="138"/>
      <c r="AA208" s="138"/>
      <c r="AB208" s="138"/>
    </row>
    <row r="209" spans="1:28">
      <c r="A209" s="140"/>
      <c r="B209" s="140"/>
      <c r="C209" s="140"/>
      <c r="D209" s="140"/>
      <c r="E209" s="140"/>
      <c r="F209" s="161"/>
      <c r="G209" s="161"/>
      <c r="H209" s="140"/>
      <c r="I209" s="161"/>
      <c r="J209" s="140"/>
      <c r="K209" s="161"/>
      <c r="L209" s="140"/>
      <c r="M209" s="140"/>
      <c r="N209" s="140"/>
      <c r="O209" s="140"/>
      <c r="P209" s="138"/>
      <c r="Q209" s="138"/>
      <c r="R209" s="138"/>
      <c r="S209" s="138"/>
      <c r="T209" s="138"/>
      <c r="U209" s="138"/>
      <c r="V209" s="138"/>
      <c r="W209" s="138"/>
      <c r="X209" s="138"/>
      <c r="Y209" s="138"/>
      <c r="Z209" s="138"/>
      <c r="AA209" s="138"/>
      <c r="AB209" s="138"/>
    </row>
    <row r="210" spans="1:28">
      <c r="A210" s="140"/>
      <c r="B210" s="140"/>
      <c r="C210" s="140"/>
      <c r="D210" s="140"/>
      <c r="E210" s="140"/>
      <c r="F210" s="161"/>
      <c r="G210" s="161"/>
      <c r="H210" s="140"/>
      <c r="I210" s="161"/>
      <c r="J210" s="140"/>
      <c r="K210" s="161"/>
      <c r="L210" s="140"/>
      <c r="M210" s="140"/>
      <c r="N210" s="140"/>
      <c r="O210" s="140"/>
      <c r="P210" s="138"/>
      <c r="Q210" s="138"/>
      <c r="R210" s="138"/>
      <c r="S210" s="138"/>
      <c r="T210" s="138"/>
      <c r="U210" s="138"/>
      <c r="V210" s="138"/>
      <c r="W210" s="138"/>
      <c r="X210" s="138"/>
      <c r="Y210" s="138"/>
      <c r="Z210" s="138"/>
      <c r="AA210" s="138"/>
      <c r="AB210" s="138"/>
    </row>
    <row r="211" spans="1:28">
      <c r="A211" s="140"/>
      <c r="B211" s="140"/>
      <c r="C211" s="140"/>
      <c r="D211" s="140"/>
      <c r="E211" s="140"/>
      <c r="F211" s="161"/>
      <c r="G211" s="161"/>
      <c r="H211" s="140"/>
      <c r="I211" s="161"/>
      <c r="J211" s="140"/>
      <c r="K211" s="161"/>
      <c r="L211" s="140"/>
      <c r="M211" s="140"/>
      <c r="N211" s="140"/>
      <c r="O211" s="140"/>
      <c r="P211" s="138"/>
      <c r="Q211" s="138"/>
      <c r="R211" s="138"/>
      <c r="S211" s="138"/>
      <c r="T211" s="138"/>
      <c r="U211" s="138"/>
      <c r="V211" s="138"/>
      <c r="W211" s="138"/>
      <c r="X211" s="138"/>
      <c r="Y211" s="138"/>
      <c r="Z211" s="138"/>
      <c r="AA211" s="138"/>
      <c r="AB211" s="138"/>
    </row>
    <row r="212" spans="1:28">
      <c r="A212" s="140"/>
      <c r="B212" s="140"/>
      <c r="C212" s="140"/>
      <c r="D212" s="140"/>
      <c r="E212" s="140"/>
      <c r="F212" s="161"/>
      <c r="G212" s="161"/>
      <c r="H212" s="140"/>
      <c r="I212" s="161"/>
      <c r="J212" s="140"/>
      <c r="K212" s="161"/>
      <c r="L212" s="140"/>
      <c r="M212" s="140"/>
      <c r="N212" s="140"/>
      <c r="O212" s="140"/>
      <c r="P212" s="138"/>
      <c r="Q212" s="138"/>
      <c r="R212" s="138"/>
      <c r="S212" s="138"/>
      <c r="T212" s="138"/>
      <c r="U212" s="138"/>
      <c r="V212" s="138"/>
      <c r="W212" s="138"/>
      <c r="X212" s="138"/>
      <c r="Y212" s="138"/>
      <c r="Z212" s="138"/>
      <c r="AA212" s="138"/>
      <c r="AB212" s="138"/>
    </row>
    <row r="213" spans="1:28">
      <c r="A213" s="140"/>
      <c r="B213" s="140"/>
      <c r="C213" s="140"/>
      <c r="D213" s="140"/>
      <c r="E213" s="140"/>
      <c r="F213" s="161"/>
      <c r="G213" s="161"/>
      <c r="H213" s="140"/>
      <c r="I213" s="161"/>
      <c r="J213" s="140"/>
      <c r="K213" s="161"/>
      <c r="L213" s="140"/>
      <c r="M213" s="140"/>
      <c r="N213" s="140"/>
      <c r="O213" s="140"/>
      <c r="P213" s="138"/>
      <c r="Q213" s="138"/>
      <c r="R213" s="138"/>
      <c r="S213" s="138"/>
      <c r="T213" s="138"/>
      <c r="U213" s="138"/>
      <c r="V213" s="138"/>
      <c r="W213" s="138"/>
      <c r="X213" s="138"/>
      <c r="Y213" s="138"/>
      <c r="Z213" s="138"/>
      <c r="AA213" s="138"/>
      <c r="AB213" s="138"/>
    </row>
    <row r="214" spans="1:28">
      <c r="A214" s="140"/>
      <c r="B214" s="140"/>
      <c r="C214" s="140"/>
      <c r="D214" s="140"/>
      <c r="E214" s="140"/>
      <c r="F214" s="161"/>
      <c r="G214" s="161"/>
      <c r="H214" s="140"/>
      <c r="I214" s="161"/>
      <c r="J214" s="140"/>
      <c r="K214" s="161"/>
      <c r="L214" s="140"/>
      <c r="M214" s="140"/>
      <c r="N214" s="140"/>
      <c r="O214" s="140"/>
      <c r="P214" s="138"/>
      <c r="Q214" s="138"/>
      <c r="R214" s="138"/>
      <c r="S214" s="138"/>
      <c r="T214" s="138"/>
      <c r="U214" s="138"/>
      <c r="V214" s="138"/>
      <c r="W214" s="138"/>
      <c r="X214" s="138"/>
      <c r="Y214" s="138"/>
      <c r="Z214" s="138"/>
      <c r="AA214" s="138"/>
      <c r="AB214" s="138"/>
    </row>
    <row r="215" spans="1:28">
      <c r="A215" s="140"/>
      <c r="B215" s="140"/>
      <c r="C215" s="140"/>
      <c r="D215" s="140"/>
      <c r="E215" s="140"/>
      <c r="F215" s="161"/>
      <c r="G215" s="161"/>
      <c r="H215" s="140"/>
      <c r="I215" s="161"/>
      <c r="J215" s="140"/>
      <c r="K215" s="161"/>
      <c r="L215" s="140"/>
      <c r="M215" s="140"/>
      <c r="N215" s="140"/>
      <c r="O215" s="140"/>
      <c r="P215" s="138"/>
      <c r="Q215" s="138"/>
      <c r="R215" s="138"/>
      <c r="S215" s="138"/>
      <c r="T215" s="138"/>
      <c r="U215" s="138"/>
      <c r="V215" s="138"/>
      <c r="W215" s="138"/>
      <c r="X215" s="138"/>
      <c r="Y215" s="138"/>
      <c r="Z215" s="138"/>
      <c r="AA215" s="138"/>
      <c r="AB215" s="138"/>
    </row>
    <row r="216" spans="1:28">
      <c r="A216" s="140"/>
      <c r="B216" s="140"/>
      <c r="C216" s="140"/>
      <c r="D216" s="140"/>
      <c r="E216" s="140"/>
      <c r="F216" s="161"/>
      <c r="G216" s="161"/>
      <c r="H216" s="140"/>
      <c r="I216" s="161"/>
      <c r="J216" s="140"/>
      <c r="K216" s="161"/>
      <c r="L216" s="140"/>
      <c r="M216" s="140"/>
      <c r="N216" s="140"/>
      <c r="O216" s="140"/>
      <c r="P216" s="138"/>
      <c r="Q216" s="138"/>
      <c r="R216" s="138"/>
      <c r="S216" s="138"/>
      <c r="T216" s="138"/>
      <c r="U216" s="138"/>
      <c r="V216" s="138"/>
      <c r="W216" s="138"/>
      <c r="X216" s="138"/>
      <c r="Y216" s="138"/>
      <c r="Z216" s="138"/>
      <c r="AA216" s="138"/>
      <c r="AB216" s="138"/>
    </row>
    <row r="217" spans="1:28">
      <c r="A217" s="140"/>
      <c r="B217" s="140"/>
      <c r="C217" s="140"/>
      <c r="D217" s="140"/>
      <c r="E217" s="140"/>
      <c r="F217" s="161"/>
      <c r="G217" s="161"/>
      <c r="H217" s="140"/>
      <c r="I217" s="161"/>
      <c r="J217" s="140"/>
      <c r="K217" s="161"/>
      <c r="L217" s="140"/>
      <c r="M217" s="140"/>
      <c r="N217" s="140"/>
      <c r="O217" s="140"/>
      <c r="P217" s="138"/>
      <c r="Q217" s="138"/>
      <c r="R217" s="138"/>
      <c r="S217" s="138"/>
      <c r="T217" s="138"/>
      <c r="U217" s="138"/>
      <c r="V217" s="138"/>
      <c r="W217" s="138"/>
      <c r="X217" s="138"/>
      <c r="Y217" s="138"/>
      <c r="Z217" s="138"/>
      <c r="AA217" s="138"/>
      <c r="AB217" s="138"/>
    </row>
    <row r="218" spans="1:28">
      <c r="A218" s="140"/>
      <c r="B218" s="140"/>
      <c r="C218" s="140"/>
      <c r="D218" s="140"/>
      <c r="E218" s="140"/>
      <c r="F218" s="161"/>
      <c r="G218" s="161"/>
      <c r="H218" s="140"/>
      <c r="I218" s="161"/>
      <c r="J218" s="140"/>
      <c r="K218" s="161"/>
      <c r="L218" s="140"/>
      <c r="M218" s="140"/>
      <c r="N218" s="140"/>
      <c r="O218" s="140"/>
      <c r="P218" s="138"/>
      <c r="Q218" s="138"/>
      <c r="R218" s="138"/>
      <c r="S218" s="138"/>
      <c r="T218" s="138"/>
      <c r="U218" s="138"/>
      <c r="V218" s="138"/>
      <c r="W218" s="138"/>
      <c r="X218" s="138"/>
      <c r="Y218" s="138"/>
      <c r="Z218" s="138"/>
      <c r="AA218" s="138"/>
      <c r="AB218" s="138"/>
    </row>
    <row r="219" spans="1:28">
      <c r="A219" s="140"/>
      <c r="B219" s="140"/>
      <c r="C219" s="140"/>
      <c r="D219" s="140"/>
      <c r="E219" s="140"/>
      <c r="F219" s="161"/>
      <c r="G219" s="161"/>
      <c r="H219" s="140"/>
      <c r="I219" s="161"/>
      <c r="J219" s="140"/>
      <c r="K219" s="161"/>
      <c r="L219" s="140"/>
      <c r="M219" s="140"/>
      <c r="N219" s="140"/>
      <c r="O219" s="140"/>
      <c r="P219" s="138"/>
      <c r="Q219" s="138"/>
      <c r="R219" s="138"/>
      <c r="S219" s="138"/>
      <c r="T219" s="138"/>
      <c r="U219" s="138"/>
      <c r="V219" s="138"/>
      <c r="W219" s="138"/>
      <c r="X219" s="138"/>
      <c r="Y219" s="138"/>
      <c r="Z219" s="138"/>
      <c r="AA219" s="138"/>
      <c r="AB219" s="138"/>
    </row>
    <row r="220" spans="1:28">
      <c r="A220" s="140"/>
      <c r="B220" s="140"/>
      <c r="C220" s="140"/>
      <c r="D220" s="140"/>
      <c r="E220" s="140"/>
      <c r="F220" s="161"/>
      <c r="G220" s="161"/>
      <c r="H220" s="140"/>
      <c r="I220" s="161"/>
      <c r="J220" s="140"/>
      <c r="K220" s="161"/>
      <c r="L220" s="140"/>
      <c r="M220" s="140"/>
      <c r="N220" s="140"/>
      <c r="O220" s="140"/>
      <c r="P220" s="138"/>
      <c r="Q220" s="138"/>
      <c r="R220" s="138"/>
      <c r="S220" s="138"/>
      <c r="T220" s="138"/>
      <c r="U220" s="138"/>
      <c r="V220" s="138"/>
      <c r="W220" s="138"/>
      <c r="X220" s="138"/>
      <c r="Y220" s="138"/>
      <c r="Z220" s="138"/>
      <c r="AA220" s="138"/>
      <c r="AB220" s="138"/>
    </row>
    <row r="221" spans="1:28">
      <c r="A221" s="140"/>
      <c r="B221" s="140"/>
      <c r="C221" s="140"/>
      <c r="D221" s="140"/>
      <c r="E221" s="140"/>
      <c r="F221" s="161"/>
      <c r="G221" s="161"/>
      <c r="H221" s="140"/>
      <c r="I221" s="161"/>
      <c r="J221" s="140"/>
      <c r="K221" s="161"/>
      <c r="L221" s="140"/>
      <c r="M221" s="140"/>
      <c r="N221" s="140"/>
      <c r="O221" s="140"/>
      <c r="P221" s="138"/>
      <c r="Q221" s="138"/>
      <c r="R221" s="138"/>
      <c r="S221" s="138"/>
      <c r="T221" s="138"/>
      <c r="U221" s="138"/>
      <c r="V221" s="138"/>
      <c r="W221" s="138"/>
      <c r="X221" s="138"/>
      <c r="Y221" s="138"/>
      <c r="Z221" s="138"/>
      <c r="AA221" s="138"/>
      <c r="AB221" s="138"/>
    </row>
    <row r="222" spans="1:28">
      <c r="A222" s="140"/>
      <c r="B222" s="140"/>
      <c r="C222" s="140"/>
      <c r="D222" s="140"/>
      <c r="E222" s="140"/>
      <c r="F222" s="161"/>
      <c r="G222" s="161"/>
      <c r="H222" s="140"/>
      <c r="I222" s="161"/>
      <c r="J222" s="140"/>
      <c r="K222" s="161"/>
      <c r="L222" s="140"/>
      <c r="M222" s="140"/>
      <c r="N222" s="140"/>
      <c r="O222" s="140"/>
      <c r="P222" s="138"/>
      <c r="Q222" s="138"/>
      <c r="R222" s="138"/>
      <c r="S222" s="138"/>
      <c r="T222" s="138"/>
      <c r="U222" s="138"/>
      <c r="V222" s="138"/>
      <c r="W222" s="138"/>
      <c r="X222" s="138"/>
      <c r="Y222" s="138"/>
      <c r="Z222" s="138"/>
      <c r="AA222" s="138"/>
      <c r="AB222" s="138"/>
    </row>
    <row r="223" spans="1:28">
      <c r="A223" s="140"/>
      <c r="B223" s="140"/>
      <c r="C223" s="140"/>
      <c r="D223" s="140"/>
      <c r="E223" s="140"/>
      <c r="F223" s="161"/>
      <c r="G223" s="161"/>
      <c r="H223" s="140"/>
      <c r="I223" s="161"/>
      <c r="J223" s="140"/>
      <c r="K223" s="161"/>
      <c r="L223" s="140"/>
      <c r="M223" s="140"/>
      <c r="N223" s="140"/>
      <c r="O223" s="140"/>
      <c r="P223" s="138"/>
      <c r="Q223" s="138"/>
      <c r="R223" s="138"/>
      <c r="S223" s="138"/>
      <c r="T223" s="138"/>
      <c r="U223" s="138"/>
      <c r="V223" s="138"/>
      <c r="W223" s="138"/>
      <c r="X223" s="138"/>
      <c r="Y223" s="138"/>
      <c r="Z223" s="138"/>
      <c r="AA223" s="138"/>
      <c r="AB223" s="138"/>
    </row>
    <row r="224" spans="1:28">
      <c r="A224" s="140"/>
      <c r="B224" s="140"/>
      <c r="C224" s="140"/>
      <c r="D224" s="140"/>
      <c r="E224" s="140"/>
      <c r="F224" s="161"/>
      <c r="G224" s="161"/>
      <c r="H224" s="140"/>
      <c r="I224" s="161"/>
      <c r="J224" s="140"/>
      <c r="K224" s="161"/>
      <c r="L224" s="140"/>
      <c r="M224" s="140"/>
      <c r="N224" s="140"/>
      <c r="O224" s="140"/>
      <c r="P224" s="138"/>
      <c r="Q224" s="138"/>
      <c r="R224" s="138"/>
      <c r="S224" s="138"/>
      <c r="T224" s="138"/>
      <c r="U224" s="138"/>
      <c r="V224" s="138"/>
      <c r="W224" s="138"/>
      <c r="X224" s="138"/>
      <c r="Y224" s="138"/>
      <c r="Z224" s="138"/>
      <c r="AA224" s="138"/>
      <c r="AB224" s="138"/>
    </row>
    <row r="225" spans="1:28">
      <c r="A225" s="140"/>
      <c r="B225" s="140"/>
      <c r="C225" s="140"/>
      <c r="D225" s="140"/>
      <c r="E225" s="140"/>
      <c r="F225" s="161"/>
      <c r="G225" s="161"/>
      <c r="H225" s="140"/>
      <c r="I225" s="161"/>
      <c r="J225" s="140"/>
      <c r="K225" s="161"/>
      <c r="L225" s="140"/>
      <c r="M225" s="140"/>
      <c r="N225" s="140"/>
      <c r="O225" s="140"/>
      <c r="P225" s="138"/>
      <c r="Q225" s="138"/>
      <c r="R225" s="138"/>
      <c r="S225" s="138"/>
      <c r="T225" s="138"/>
      <c r="U225" s="138"/>
      <c r="V225" s="138"/>
      <c r="W225" s="138"/>
      <c r="X225" s="138"/>
      <c r="Y225" s="138"/>
      <c r="Z225" s="138"/>
      <c r="AA225" s="138"/>
      <c r="AB225" s="138"/>
    </row>
    <row r="226" spans="1:28">
      <c r="A226" s="140"/>
      <c r="B226" s="140"/>
      <c r="C226" s="140"/>
      <c r="D226" s="140"/>
      <c r="E226" s="140"/>
      <c r="F226" s="161"/>
      <c r="G226" s="161"/>
      <c r="H226" s="140"/>
      <c r="I226" s="161"/>
      <c r="J226" s="140"/>
      <c r="K226" s="161"/>
      <c r="L226" s="140"/>
      <c r="M226" s="140"/>
      <c r="N226" s="140"/>
      <c r="O226" s="140"/>
      <c r="P226" s="138"/>
      <c r="Q226" s="138"/>
      <c r="R226" s="138"/>
      <c r="S226" s="138"/>
      <c r="T226" s="138"/>
      <c r="U226" s="138"/>
      <c r="V226" s="138"/>
      <c r="W226" s="138"/>
      <c r="X226" s="138"/>
      <c r="Y226" s="138"/>
      <c r="Z226" s="138"/>
      <c r="AA226" s="138"/>
      <c r="AB226" s="138"/>
    </row>
    <row r="227" spans="1:28">
      <c r="A227" s="140"/>
      <c r="B227" s="140"/>
      <c r="C227" s="140"/>
      <c r="D227" s="140"/>
      <c r="E227" s="140"/>
      <c r="F227" s="161"/>
      <c r="G227" s="161"/>
      <c r="H227" s="140"/>
      <c r="I227" s="161"/>
      <c r="J227" s="140"/>
      <c r="K227" s="161"/>
      <c r="L227" s="140"/>
      <c r="M227" s="140"/>
      <c r="N227" s="140"/>
      <c r="O227" s="140"/>
      <c r="P227" s="138"/>
      <c r="Q227" s="138"/>
      <c r="R227" s="138"/>
      <c r="S227" s="138"/>
      <c r="T227" s="138"/>
      <c r="U227" s="138"/>
      <c r="V227" s="138"/>
      <c r="W227" s="138"/>
      <c r="X227" s="138"/>
      <c r="Y227" s="138"/>
      <c r="Z227" s="138"/>
      <c r="AA227" s="138"/>
      <c r="AB227" s="138"/>
    </row>
    <row r="228" spans="1:28">
      <c r="A228" s="140"/>
      <c r="B228" s="140"/>
      <c r="C228" s="140"/>
      <c r="D228" s="140"/>
      <c r="E228" s="140"/>
      <c r="F228" s="161"/>
      <c r="G228" s="161"/>
      <c r="H228" s="140"/>
      <c r="I228" s="161"/>
      <c r="J228" s="140"/>
      <c r="K228" s="161"/>
      <c r="L228" s="140"/>
      <c r="M228" s="140"/>
      <c r="N228" s="140"/>
      <c r="O228" s="140"/>
      <c r="P228" s="138"/>
      <c r="Q228" s="138"/>
      <c r="R228" s="138"/>
      <c r="S228" s="138"/>
      <c r="T228" s="138"/>
      <c r="U228" s="138"/>
      <c r="V228" s="138"/>
      <c r="W228" s="138"/>
      <c r="X228" s="138"/>
      <c r="Y228" s="138"/>
      <c r="Z228" s="138"/>
      <c r="AA228" s="138"/>
      <c r="AB228" s="138"/>
    </row>
    <row r="229" spans="1:28">
      <c r="A229" s="140"/>
      <c r="B229" s="140"/>
      <c r="C229" s="140"/>
      <c r="D229" s="140"/>
      <c r="E229" s="140"/>
      <c r="F229" s="161"/>
      <c r="G229" s="161"/>
      <c r="H229" s="140"/>
      <c r="I229" s="161"/>
      <c r="J229" s="140"/>
      <c r="K229" s="161"/>
      <c r="L229" s="140"/>
      <c r="M229" s="140"/>
      <c r="N229" s="140"/>
      <c r="O229" s="140"/>
      <c r="P229" s="138"/>
      <c r="Q229" s="138"/>
      <c r="R229" s="138"/>
      <c r="S229" s="138"/>
      <c r="T229" s="138"/>
      <c r="U229" s="138"/>
      <c r="V229" s="138"/>
      <c r="W229" s="138"/>
      <c r="X229" s="138"/>
      <c r="Y229" s="138"/>
      <c r="Z229" s="138"/>
      <c r="AA229" s="138"/>
      <c r="AB229" s="138"/>
    </row>
    <row r="230" spans="1:28">
      <c r="A230" s="140"/>
      <c r="B230" s="140"/>
      <c r="C230" s="140"/>
      <c r="D230" s="140"/>
      <c r="E230" s="140"/>
      <c r="F230" s="161"/>
      <c r="G230" s="161"/>
      <c r="H230" s="140"/>
      <c r="I230" s="161"/>
      <c r="J230" s="140"/>
      <c r="K230" s="161"/>
      <c r="L230" s="140"/>
      <c r="M230" s="140"/>
      <c r="N230" s="140"/>
      <c r="O230" s="140"/>
      <c r="P230" s="138"/>
      <c r="Q230" s="138"/>
      <c r="R230" s="138"/>
      <c r="S230" s="138"/>
      <c r="T230" s="138"/>
      <c r="U230" s="138"/>
      <c r="V230" s="138"/>
      <c r="W230" s="138"/>
      <c r="X230" s="138"/>
      <c r="Y230" s="138"/>
      <c r="Z230" s="138"/>
      <c r="AA230" s="138"/>
      <c r="AB230" s="138"/>
    </row>
    <row r="231" spans="1:28">
      <c r="A231" s="140"/>
      <c r="B231" s="140"/>
      <c r="C231" s="140"/>
      <c r="D231" s="140"/>
      <c r="E231" s="140"/>
      <c r="F231" s="161"/>
      <c r="G231" s="161"/>
      <c r="H231" s="140"/>
      <c r="I231" s="161"/>
      <c r="J231" s="140"/>
      <c r="K231" s="161"/>
      <c r="L231" s="140"/>
      <c r="M231" s="140"/>
      <c r="N231" s="140"/>
      <c r="O231" s="140"/>
      <c r="P231" s="138"/>
      <c r="Q231" s="138"/>
      <c r="R231" s="138"/>
      <c r="S231" s="138"/>
      <c r="T231" s="138"/>
      <c r="U231" s="138"/>
      <c r="V231" s="138"/>
      <c r="W231" s="138"/>
      <c r="X231" s="138"/>
      <c r="Y231" s="138"/>
      <c r="Z231" s="138"/>
      <c r="AA231" s="138"/>
      <c r="AB231" s="138"/>
    </row>
    <row r="232" spans="1:28">
      <c r="A232" s="140"/>
      <c r="B232" s="140"/>
      <c r="C232" s="140"/>
      <c r="D232" s="140"/>
      <c r="E232" s="140"/>
      <c r="F232" s="161"/>
      <c r="G232" s="161"/>
      <c r="H232" s="140"/>
      <c r="I232" s="161"/>
      <c r="J232" s="140"/>
      <c r="K232" s="161"/>
      <c r="L232" s="140"/>
      <c r="M232" s="140"/>
      <c r="N232" s="140"/>
      <c r="O232" s="140"/>
      <c r="P232" s="138"/>
      <c r="Q232" s="138"/>
      <c r="R232" s="138"/>
      <c r="S232" s="138"/>
      <c r="T232" s="138"/>
      <c r="U232" s="138"/>
      <c r="V232" s="138"/>
      <c r="W232" s="138"/>
      <c r="X232" s="138"/>
      <c r="Y232" s="138"/>
      <c r="Z232" s="138"/>
      <c r="AA232" s="138"/>
      <c r="AB232" s="138"/>
    </row>
    <row r="233" spans="1:28">
      <c r="A233" s="140"/>
      <c r="B233" s="140"/>
      <c r="C233" s="140"/>
      <c r="D233" s="140"/>
      <c r="E233" s="140"/>
      <c r="F233" s="161"/>
      <c r="G233" s="161"/>
      <c r="H233" s="140"/>
      <c r="I233" s="161"/>
      <c r="J233" s="140"/>
      <c r="K233" s="161"/>
      <c r="L233" s="140"/>
      <c r="M233" s="140"/>
      <c r="N233" s="140"/>
      <c r="O233" s="140"/>
      <c r="P233" s="138"/>
      <c r="Q233" s="138"/>
      <c r="R233" s="138"/>
      <c r="S233" s="138"/>
      <c r="T233" s="138"/>
      <c r="U233" s="138"/>
      <c r="V233" s="138"/>
      <c r="W233" s="138"/>
      <c r="X233" s="138"/>
      <c r="Y233" s="138"/>
      <c r="Z233" s="138"/>
      <c r="AA233" s="138"/>
      <c r="AB233" s="138"/>
    </row>
    <row r="234" spans="1:28">
      <c r="A234" s="140"/>
      <c r="B234" s="140"/>
      <c r="C234" s="140"/>
      <c r="D234" s="140"/>
      <c r="E234" s="140"/>
      <c r="F234" s="161"/>
      <c r="G234" s="161"/>
      <c r="H234" s="140"/>
      <c r="I234" s="161"/>
      <c r="J234" s="140"/>
      <c r="K234" s="161"/>
      <c r="L234" s="140"/>
      <c r="M234" s="140"/>
      <c r="N234" s="140"/>
      <c r="O234" s="140"/>
      <c r="P234" s="138"/>
      <c r="Q234" s="138"/>
      <c r="R234" s="138"/>
      <c r="S234" s="138"/>
      <c r="T234" s="138"/>
      <c r="U234" s="138"/>
      <c r="V234" s="138"/>
      <c r="W234" s="138"/>
      <c r="X234" s="138"/>
      <c r="Y234" s="138"/>
      <c r="Z234" s="138"/>
      <c r="AA234" s="138"/>
      <c r="AB234" s="138"/>
    </row>
    <row r="235" spans="1:28">
      <c r="A235" s="140"/>
      <c r="B235" s="140"/>
      <c r="C235" s="140"/>
      <c r="D235" s="140"/>
      <c r="E235" s="140"/>
      <c r="F235" s="161"/>
      <c r="G235" s="161"/>
      <c r="H235" s="140"/>
      <c r="I235" s="161"/>
      <c r="J235" s="140"/>
      <c r="K235" s="161"/>
      <c r="L235" s="140"/>
      <c r="M235" s="140"/>
      <c r="N235" s="140"/>
      <c r="O235" s="140"/>
      <c r="P235" s="138"/>
      <c r="Q235" s="138"/>
      <c r="R235" s="138"/>
      <c r="S235" s="138"/>
      <c r="T235" s="138"/>
      <c r="U235" s="138"/>
      <c r="V235" s="138"/>
      <c r="W235" s="138"/>
      <c r="X235" s="138"/>
      <c r="Y235" s="138"/>
      <c r="Z235" s="138"/>
      <c r="AA235" s="138"/>
      <c r="AB235" s="138"/>
    </row>
    <row r="236" spans="1:28">
      <c r="A236" s="140"/>
      <c r="B236" s="140"/>
      <c r="C236" s="140"/>
      <c r="D236" s="140"/>
      <c r="E236" s="140"/>
      <c r="F236" s="161"/>
      <c r="G236" s="161"/>
      <c r="H236" s="140"/>
      <c r="I236" s="161"/>
      <c r="J236" s="140"/>
      <c r="K236" s="161"/>
      <c r="L236" s="140"/>
      <c r="M236" s="140"/>
      <c r="N236" s="140"/>
      <c r="O236" s="140"/>
      <c r="P236" s="138"/>
      <c r="Q236" s="138"/>
      <c r="R236" s="138"/>
      <c r="S236" s="138"/>
      <c r="T236" s="138"/>
      <c r="U236" s="138"/>
      <c r="V236" s="138"/>
      <c r="W236" s="138"/>
      <c r="X236" s="138"/>
      <c r="Y236" s="138"/>
      <c r="Z236" s="138"/>
      <c r="AA236" s="138"/>
      <c r="AB236" s="138"/>
    </row>
    <row r="237" spans="1:28">
      <c r="A237" s="140"/>
      <c r="B237" s="140"/>
      <c r="C237" s="140"/>
      <c r="D237" s="140"/>
      <c r="E237" s="140"/>
      <c r="F237" s="161"/>
      <c r="G237" s="161"/>
      <c r="H237" s="140"/>
      <c r="I237" s="161"/>
      <c r="J237" s="140"/>
      <c r="K237" s="161"/>
      <c r="L237" s="140"/>
      <c r="M237" s="140"/>
      <c r="N237" s="140"/>
      <c r="O237" s="140"/>
      <c r="P237" s="138"/>
      <c r="Q237" s="138"/>
      <c r="R237" s="138"/>
      <c r="S237" s="138"/>
      <c r="T237" s="138"/>
      <c r="U237" s="138"/>
      <c r="V237" s="138"/>
      <c r="W237" s="138"/>
      <c r="X237" s="138"/>
      <c r="Y237" s="138"/>
      <c r="Z237" s="138"/>
      <c r="AA237" s="138"/>
      <c r="AB237" s="138"/>
    </row>
    <row r="238" spans="1:28">
      <c r="A238" s="140"/>
      <c r="B238" s="140"/>
      <c r="C238" s="140"/>
      <c r="D238" s="140"/>
      <c r="E238" s="140"/>
      <c r="F238" s="161"/>
      <c r="G238" s="161"/>
      <c r="H238" s="140"/>
      <c r="I238" s="161"/>
      <c r="J238" s="140"/>
      <c r="K238" s="161"/>
      <c r="L238" s="140"/>
      <c r="M238" s="140"/>
      <c r="N238" s="140"/>
      <c r="O238" s="140"/>
      <c r="P238" s="138"/>
      <c r="Q238" s="138"/>
      <c r="R238" s="138"/>
      <c r="S238" s="138"/>
      <c r="T238" s="138"/>
      <c r="U238" s="138"/>
      <c r="V238" s="138"/>
      <c r="W238" s="138"/>
      <c r="X238" s="138"/>
      <c r="Y238" s="138"/>
      <c r="Z238" s="138"/>
      <c r="AA238" s="138"/>
      <c r="AB238" s="138"/>
    </row>
    <row r="239" spans="1:28">
      <c r="A239" s="140"/>
      <c r="B239" s="140"/>
      <c r="C239" s="140"/>
      <c r="D239" s="140"/>
      <c r="E239" s="140"/>
      <c r="F239" s="161"/>
      <c r="G239" s="161"/>
      <c r="H239" s="140"/>
      <c r="I239" s="161"/>
      <c r="J239" s="140"/>
      <c r="K239" s="161"/>
      <c r="L239" s="140"/>
      <c r="M239" s="140"/>
      <c r="N239" s="140"/>
      <c r="O239" s="140"/>
      <c r="P239" s="138"/>
      <c r="Q239" s="138"/>
      <c r="R239" s="138"/>
      <c r="S239" s="138"/>
      <c r="T239" s="138"/>
      <c r="U239" s="138"/>
      <c r="V239" s="138"/>
      <c r="W239" s="138"/>
      <c r="X239" s="138"/>
      <c r="Y239" s="138"/>
      <c r="Z239" s="138"/>
      <c r="AA239" s="138"/>
      <c r="AB239" s="138"/>
    </row>
    <row r="240" spans="1:28">
      <c r="A240" s="140"/>
      <c r="B240" s="140"/>
      <c r="C240" s="140"/>
      <c r="D240" s="140"/>
      <c r="E240" s="140"/>
      <c r="F240" s="161"/>
      <c r="G240" s="161"/>
      <c r="H240" s="140"/>
      <c r="I240" s="161"/>
      <c r="J240" s="140"/>
      <c r="K240" s="161"/>
      <c r="L240" s="140"/>
      <c r="M240" s="140"/>
      <c r="N240" s="140"/>
      <c r="O240" s="140"/>
      <c r="P240" s="138"/>
      <c r="Q240" s="138"/>
      <c r="R240" s="138"/>
      <c r="S240" s="138"/>
      <c r="T240" s="138"/>
      <c r="U240" s="138"/>
      <c r="V240" s="138"/>
      <c r="W240" s="138"/>
      <c r="X240" s="138"/>
      <c r="Y240" s="138"/>
      <c r="Z240" s="138"/>
      <c r="AA240" s="138"/>
      <c r="AB240" s="138"/>
    </row>
    <row r="241" spans="1:28">
      <c r="A241" s="140"/>
      <c r="B241" s="140"/>
      <c r="C241" s="140"/>
      <c r="D241" s="140"/>
      <c r="E241" s="140"/>
      <c r="F241" s="161"/>
      <c r="G241" s="161"/>
      <c r="H241" s="140"/>
      <c r="I241" s="161"/>
      <c r="J241" s="140"/>
      <c r="K241" s="161"/>
      <c r="L241" s="140"/>
      <c r="M241" s="140"/>
      <c r="N241" s="140"/>
      <c r="O241" s="140"/>
      <c r="P241" s="138"/>
      <c r="Q241" s="138"/>
      <c r="R241" s="138"/>
      <c r="S241" s="138"/>
      <c r="T241" s="138"/>
      <c r="U241" s="138"/>
      <c r="V241" s="138"/>
      <c r="W241" s="138"/>
      <c r="X241" s="138"/>
      <c r="Y241" s="138"/>
      <c r="Z241" s="138"/>
      <c r="AA241" s="138"/>
      <c r="AB241" s="138"/>
    </row>
    <row r="242" spans="1:28">
      <c r="A242" s="140"/>
      <c r="B242" s="140"/>
      <c r="C242" s="140"/>
      <c r="D242" s="140"/>
      <c r="E242" s="140"/>
      <c r="F242" s="161"/>
      <c r="G242" s="161"/>
      <c r="H242" s="140"/>
      <c r="I242" s="161"/>
      <c r="J242" s="140"/>
      <c r="K242" s="161"/>
      <c r="L242" s="140"/>
      <c r="M242" s="140"/>
      <c r="N242" s="140"/>
      <c r="O242" s="140"/>
      <c r="P242" s="138"/>
      <c r="Q242" s="138"/>
      <c r="R242" s="138"/>
      <c r="S242" s="138"/>
      <c r="T242" s="138"/>
      <c r="U242" s="138"/>
      <c r="V242" s="138"/>
      <c r="W242" s="138"/>
      <c r="X242" s="138"/>
      <c r="Y242" s="138"/>
      <c r="Z242" s="138"/>
      <c r="AA242" s="138"/>
      <c r="AB242" s="138"/>
    </row>
    <row r="243" spans="1:28">
      <c r="A243" s="140"/>
      <c r="B243" s="140"/>
      <c r="C243" s="140"/>
      <c r="D243" s="140"/>
      <c r="E243" s="140"/>
      <c r="F243" s="161"/>
      <c r="G243" s="161"/>
      <c r="H243" s="140"/>
      <c r="I243" s="161"/>
      <c r="J243" s="140"/>
      <c r="K243" s="161"/>
      <c r="L243" s="140"/>
      <c r="M243" s="140"/>
      <c r="N243" s="140"/>
      <c r="O243" s="140"/>
      <c r="P243" s="138"/>
      <c r="Q243" s="138"/>
      <c r="R243" s="138"/>
      <c r="S243" s="138"/>
      <c r="T243" s="138"/>
      <c r="U243" s="138"/>
      <c r="V243" s="138"/>
      <c r="W243" s="138"/>
      <c r="X243" s="138"/>
      <c r="Y243" s="138"/>
      <c r="Z243" s="138"/>
      <c r="AA243" s="138"/>
      <c r="AB243" s="138"/>
    </row>
    <row r="244" spans="1:28">
      <c r="A244" s="140"/>
      <c r="B244" s="140"/>
      <c r="C244" s="140"/>
      <c r="D244" s="140"/>
      <c r="E244" s="140"/>
      <c r="F244" s="161"/>
      <c r="G244" s="161"/>
      <c r="H244" s="140"/>
      <c r="I244" s="161"/>
      <c r="J244" s="140"/>
      <c r="K244" s="161"/>
      <c r="L244" s="140"/>
      <c r="M244" s="140"/>
      <c r="N244" s="140"/>
      <c r="O244" s="140"/>
      <c r="P244" s="138"/>
      <c r="Q244" s="138"/>
      <c r="R244" s="138"/>
      <c r="S244" s="138"/>
      <c r="T244" s="138"/>
      <c r="U244" s="138"/>
      <c r="V244" s="138"/>
      <c r="W244" s="138"/>
      <c r="X244" s="138"/>
      <c r="Y244" s="138"/>
      <c r="Z244" s="138"/>
      <c r="AA244" s="138"/>
      <c r="AB244" s="138"/>
    </row>
    <row r="245" spans="1:28">
      <c r="A245" s="140"/>
      <c r="B245" s="140"/>
      <c r="C245" s="140"/>
      <c r="D245" s="140"/>
      <c r="E245" s="140"/>
      <c r="F245" s="161"/>
      <c r="G245" s="161"/>
      <c r="H245" s="140"/>
      <c r="I245" s="161"/>
      <c r="J245" s="140"/>
      <c r="K245" s="161"/>
      <c r="L245" s="140"/>
      <c r="M245" s="140"/>
      <c r="N245" s="140"/>
      <c r="O245" s="140"/>
      <c r="P245" s="138"/>
      <c r="Q245" s="138"/>
      <c r="R245" s="138"/>
      <c r="S245" s="138"/>
      <c r="T245" s="138"/>
      <c r="U245" s="138"/>
      <c r="V245" s="138"/>
      <c r="W245" s="138"/>
      <c r="X245" s="138"/>
      <c r="Y245" s="138"/>
      <c r="Z245" s="138"/>
      <c r="AA245" s="138"/>
      <c r="AB245" s="138"/>
    </row>
    <row r="246" spans="1:28">
      <c r="A246" s="140"/>
      <c r="B246" s="140"/>
      <c r="C246" s="140"/>
      <c r="D246" s="140"/>
      <c r="E246" s="140"/>
      <c r="F246" s="161"/>
      <c r="G246" s="161"/>
      <c r="H246" s="140"/>
      <c r="I246" s="161"/>
      <c r="J246" s="140"/>
      <c r="K246" s="161"/>
      <c r="L246" s="140"/>
      <c r="M246" s="140"/>
      <c r="N246" s="140"/>
      <c r="O246" s="140"/>
      <c r="P246" s="138"/>
      <c r="Q246" s="138"/>
      <c r="R246" s="138"/>
      <c r="S246" s="138"/>
      <c r="T246" s="138"/>
      <c r="U246" s="138"/>
      <c r="V246" s="138"/>
      <c r="W246" s="138"/>
      <c r="X246" s="138"/>
      <c r="Y246" s="138"/>
      <c r="Z246" s="138"/>
      <c r="AA246" s="138"/>
      <c r="AB246" s="138"/>
    </row>
    <row r="247" spans="1:28">
      <c r="A247" s="140"/>
      <c r="B247" s="140"/>
      <c r="C247" s="140"/>
      <c r="D247" s="140"/>
      <c r="E247" s="140"/>
      <c r="F247" s="161"/>
      <c r="G247" s="161"/>
      <c r="H247" s="140"/>
      <c r="I247" s="161"/>
      <c r="J247" s="140"/>
      <c r="K247" s="161"/>
      <c r="L247" s="140"/>
      <c r="M247" s="140"/>
      <c r="N247" s="140"/>
      <c r="O247" s="140"/>
      <c r="P247" s="138"/>
      <c r="Q247" s="138"/>
      <c r="R247" s="138"/>
      <c r="S247" s="138"/>
      <c r="T247" s="138"/>
      <c r="U247" s="138"/>
      <c r="V247" s="138"/>
      <c r="W247" s="138"/>
      <c r="X247" s="138"/>
      <c r="Y247" s="138"/>
      <c r="Z247" s="138"/>
      <c r="AA247" s="138"/>
      <c r="AB247" s="138"/>
    </row>
    <row r="248" spans="1:28">
      <c r="A248" s="140"/>
      <c r="B248" s="140"/>
      <c r="C248" s="140"/>
      <c r="D248" s="140"/>
      <c r="E248" s="140"/>
      <c r="F248" s="161"/>
      <c r="G248" s="161"/>
      <c r="H248" s="140"/>
      <c r="I248" s="161"/>
      <c r="J248" s="140"/>
      <c r="K248" s="161"/>
      <c r="L248" s="140"/>
      <c r="M248" s="140"/>
      <c r="N248" s="140"/>
      <c r="O248" s="140"/>
      <c r="P248" s="138"/>
      <c r="Q248" s="138"/>
      <c r="R248" s="138"/>
      <c r="S248" s="138"/>
      <c r="T248" s="138"/>
      <c r="U248" s="138"/>
      <c r="V248" s="138"/>
      <c r="W248" s="138"/>
      <c r="X248" s="138"/>
      <c r="Y248" s="138"/>
      <c r="Z248" s="138"/>
      <c r="AA248" s="138"/>
      <c r="AB248" s="138"/>
    </row>
    <row r="249" spans="1:28">
      <c r="A249" s="140"/>
      <c r="B249" s="140"/>
      <c r="C249" s="140"/>
      <c r="D249" s="140"/>
      <c r="E249" s="140"/>
      <c r="F249" s="161"/>
      <c r="G249" s="161"/>
      <c r="H249" s="140"/>
      <c r="I249" s="161"/>
      <c r="J249" s="140"/>
      <c r="K249" s="161"/>
      <c r="L249" s="140"/>
      <c r="M249" s="140"/>
      <c r="N249" s="140"/>
      <c r="O249" s="140"/>
      <c r="P249" s="138"/>
      <c r="Q249" s="138"/>
      <c r="R249" s="138"/>
      <c r="S249" s="138"/>
      <c r="T249" s="138"/>
      <c r="U249" s="138"/>
      <c r="V249" s="138"/>
      <c r="W249" s="138"/>
      <c r="X249" s="138"/>
      <c r="Y249" s="138"/>
      <c r="Z249" s="138"/>
      <c r="AA249" s="138"/>
      <c r="AB249" s="138"/>
    </row>
    <row r="250" spans="1:28">
      <c r="A250" s="140"/>
      <c r="B250" s="140"/>
      <c r="C250" s="140"/>
      <c r="D250" s="140"/>
      <c r="E250" s="140"/>
      <c r="F250" s="161"/>
      <c r="G250" s="161"/>
      <c r="H250" s="140"/>
      <c r="I250" s="161"/>
      <c r="J250" s="140"/>
      <c r="K250" s="161"/>
      <c r="L250" s="140"/>
      <c r="M250" s="140"/>
      <c r="N250" s="140"/>
      <c r="O250" s="140"/>
      <c r="P250" s="138"/>
      <c r="Q250" s="138"/>
      <c r="R250" s="138"/>
      <c r="S250" s="138"/>
      <c r="T250" s="138"/>
      <c r="U250" s="138"/>
      <c r="V250" s="138"/>
      <c r="W250" s="138"/>
      <c r="X250" s="138"/>
      <c r="Y250" s="138"/>
      <c r="Z250" s="138"/>
      <c r="AA250" s="138"/>
      <c r="AB250" s="138"/>
    </row>
    <row r="251" spans="1:28">
      <c r="A251" s="140"/>
      <c r="B251" s="140"/>
      <c r="C251" s="140"/>
      <c r="D251" s="140"/>
      <c r="E251" s="140"/>
      <c r="F251" s="161"/>
      <c r="G251" s="161"/>
      <c r="H251" s="140"/>
      <c r="I251" s="161"/>
      <c r="J251" s="140"/>
      <c r="K251" s="161"/>
      <c r="L251" s="140"/>
      <c r="M251" s="140"/>
      <c r="N251" s="140"/>
      <c r="O251" s="140"/>
      <c r="P251" s="138"/>
      <c r="Q251" s="138"/>
      <c r="R251" s="138"/>
      <c r="S251" s="138"/>
      <c r="T251" s="138"/>
      <c r="U251" s="138"/>
      <c r="V251" s="138"/>
      <c r="W251" s="138"/>
      <c r="X251" s="138"/>
      <c r="Y251" s="138"/>
      <c r="Z251" s="138"/>
      <c r="AA251" s="138"/>
      <c r="AB251" s="138"/>
    </row>
    <row r="252" spans="1:28">
      <c r="A252" s="140"/>
      <c r="B252" s="140"/>
      <c r="C252" s="140"/>
      <c r="D252" s="140"/>
      <c r="E252" s="140"/>
      <c r="F252" s="161"/>
      <c r="G252" s="161"/>
      <c r="H252" s="140"/>
      <c r="I252" s="161"/>
      <c r="J252" s="140"/>
      <c r="K252" s="161"/>
      <c r="L252" s="140"/>
      <c r="M252" s="140"/>
      <c r="N252" s="140"/>
      <c r="O252" s="140"/>
      <c r="P252" s="138"/>
      <c r="Q252" s="138"/>
      <c r="R252" s="138"/>
      <c r="S252" s="138"/>
      <c r="T252" s="138"/>
      <c r="U252" s="138"/>
      <c r="V252" s="138"/>
      <c r="W252" s="138"/>
      <c r="X252" s="138"/>
      <c r="Y252" s="138"/>
      <c r="Z252" s="138"/>
      <c r="AA252" s="138"/>
      <c r="AB252" s="138"/>
    </row>
    <row r="253" spans="1:28">
      <c r="A253" s="140"/>
      <c r="B253" s="140"/>
      <c r="C253" s="140"/>
      <c r="D253" s="140"/>
      <c r="E253" s="140"/>
      <c r="F253" s="161"/>
      <c r="G253" s="161"/>
      <c r="H253" s="140"/>
      <c r="I253" s="161"/>
      <c r="J253" s="140"/>
      <c r="K253" s="161"/>
      <c r="L253" s="140"/>
      <c r="M253" s="140"/>
      <c r="N253" s="140"/>
      <c r="O253" s="140"/>
      <c r="P253" s="138"/>
      <c r="Q253" s="138"/>
      <c r="R253" s="138"/>
      <c r="S253" s="138"/>
      <c r="T253" s="138"/>
      <c r="U253" s="138"/>
      <c r="V253" s="138"/>
      <c r="W253" s="138"/>
      <c r="X253" s="138"/>
      <c r="Y253" s="138"/>
      <c r="Z253" s="138"/>
      <c r="AA253" s="138"/>
      <c r="AB253" s="138"/>
    </row>
    <row r="254" spans="1:28">
      <c r="A254" s="140"/>
      <c r="B254" s="140"/>
      <c r="C254" s="140"/>
      <c r="D254" s="140"/>
      <c r="E254" s="140"/>
      <c r="F254" s="161"/>
      <c r="G254" s="161"/>
      <c r="H254" s="140"/>
      <c r="I254" s="161"/>
      <c r="J254" s="140"/>
      <c r="K254" s="161"/>
      <c r="L254" s="140"/>
      <c r="M254" s="140"/>
      <c r="N254" s="140"/>
      <c r="O254" s="140"/>
      <c r="P254" s="138"/>
      <c r="Q254" s="138"/>
      <c r="R254" s="138"/>
      <c r="S254" s="138"/>
      <c r="T254" s="138"/>
      <c r="U254" s="138"/>
      <c r="V254" s="138"/>
      <c r="W254" s="138"/>
      <c r="X254" s="138"/>
      <c r="Y254" s="138"/>
      <c r="Z254" s="138"/>
      <c r="AA254" s="138"/>
      <c r="AB254" s="138"/>
    </row>
    <row r="255" spans="1:28">
      <c r="A255" s="140"/>
      <c r="B255" s="140"/>
      <c r="C255" s="140"/>
      <c r="D255" s="140"/>
      <c r="E255" s="140"/>
      <c r="F255" s="161"/>
      <c r="G255" s="161"/>
      <c r="H255" s="140"/>
      <c r="I255" s="161"/>
      <c r="J255" s="140"/>
      <c r="K255" s="161"/>
      <c r="L255" s="140"/>
      <c r="M255" s="140"/>
      <c r="N255" s="140"/>
      <c r="O255" s="140"/>
      <c r="P255" s="138"/>
      <c r="Q255" s="138"/>
      <c r="R255" s="138"/>
      <c r="S255" s="138"/>
      <c r="T255" s="138"/>
      <c r="U255" s="138"/>
      <c r="V255" s="138"/>
      <c r="W255" s="138"/>
      <c r="X255" s="138"/>
      <c r="Y255" s="138"/>
      <c r="Z255" s="138"/>
      <c r="AA255" s="138"/>
      <c r="AB255" s="138"/>
    </row>
    <row r="256" spans="1:28">
      <c r="A256" s="140"/>
      <c r="B256" s="140"/>
      <c r="C256" s="140"/>
      <c r="D256" s="140"/>
      <c r="E256" s="140"/>
      <c r="F256" s="161"/>
      <c r="G256" s="161"/>
      <c r="H256" s="140"/>
      <c r="I256" s="161"/>
      <c r="J256" s="140"/>
      <c r="K256" s="161"/>
      <c r="L256" s="140"/>
      <c r="M256" s="140"/>
      <c r="N256" s="140"/>
      <c r="O256" s="140"/>
      <c r="P256" s="138"/>
      <c r="Q256" s="138"/>
      <c r="R256" s="138"/>
      <c r="S256" s="138"/>
      <c r="T256" s="138"/>
      <c r="U256" s="138"/>
      <c r="V256" s="138"/>
      <c r="W256" s="138"/>
      <c r="X256" s="138"/>
      <c r="Y256" s="138"/>
      <c r="Z256" s="138"/>
      <c r="AA256" s="138"/>
      <c r="AB256" s="138"/>
    </row>
    <row r="257" spans="1:28">
      <c r="A257" s="140"/>
      <c r="B257" s="140"/>
      <c r="C257" s="140"/>
      <c r="D257" s="140"/>
      <c r="E257" s="140"/>
      <c r="F257" s="161"/>
      <c r="G257" s="161"/>
      <c r="H257" s="140"/>
      <c r="I257" s="161"/>
      <c r="J257" s="140"/>
      <c r="K257" s="161"/>
      <c r="L257" s="140"/>
      <c r="M257" s="140"/>
      <c r="N257" s="140"/>
      <c r="O257" s="140"/>
      <c r="P257" s="138"/>
      <c r="Q257" s="138"/>
      <c r="R257" s="138"/>
      <c r="S257" s="138"/>
      <c r="T257" s="138"/>
      <c r="U257" s="138"/>
      <c r="V257" s="138"/>
      <c r="W257" s="138"/>
      <c r="X257" s="138"/>
      <c r="Y257" s="138"/>
      <c r="Z257" s="138"/>
      <c r="AA257" s="138"/>
      <c r="AB257" s="138"/>
    </row>
    <row r="258" spans="1:28">
      <c r="A258" s="140"/>
      <c r="B258" s="140"/>
      <c r="C258" s="140"/>
      <c r="D258" s="140"/>
      <c r="E258" s="140"/>
      <c r="F258" s="161"/>
      <c r="G258" s="161"/>
      <c r="H258" s="140"/>
      <c r="I258" s="161"/>
      <c r="J258" s="140"/>
      <c r="K258" s="161"/>
      <c r="L258" s="140"/>
      <c r="M258" s="140"/>
      <c r="N258" s="140"/>
      <c r="O258" s="140"/>
      <c r="P258" s="138"/>
      <c r="Q258" s="138"/>
      <c r="R258" s="138"/>
      <c r="S258" s="138"/>
      <c r="T258" s="138"/>
      <c r="U258" s="138"/>
      <c r="V258" s="138"/>
      <c r="W258" s="138"/>
      <c r="X258" s="138"/>
      <c r="Y258" s="138"/>
      <c r="Z258" s="138"/>
      <c r="AA258" s="138"/>
      <c r="AB258" s="138"/>
    </row>
    <row r="259" spans="1:28">
      <c r="A259" s="140"/>
      <c r="B259" s="140"/>
      <c r="C259" s="140"/>
      <c r="D259" s="140"/>
      <c r="E259" s="140"/>
      <c r="F259" s="161"/>
      <c r="G259" s="161"/>
      <c r="H259" s="140"/>
      <c r="I259" s="161"/>
      <c r="J259" s="140"/>
      <c r="K259" s="161"/>
      <c r="L259" s="140"/>
      <c r="M259" s="140"/>
      <c r="N259" s="140"/>
      <c r="O259" s="140"/>
      <c r="P259" s="138"/>
      <c r="Q259" s="138"/>
      <c r="R259" s="138"/>
      <c r="S259" s="138"/>
      <c r="T259" s="138"/>
      <c r="U259" s="138"/>
      <c r="V259" s="138"/>
      <c r="W259" s="138"/>
      <c r="X259" s="138"/>
      <c r="Y259" s="138"/>
      <c r="Z259" s="138"/>
      <c r="AA259" s="138"/>
      <c r="AB259" s="138"/>
    </row>
    <row r="260" spans="1:28">
      <c r="A260" s="140"/>
      <c r="B260" s="140"/>
      <c r="C260" s="140"/>
      <c r="D260" s="140"/>
      <c r="E260" s="140"/>
      <c r="F260" s="161"/>
      <c r="G260" s="161"/>
      <c r="H260" s="140"/>
      <c r="I260" s="161"/>
      <c r="J260" s="140"/>
      <c r="K260" s="161"/>
      <c r="L260" s="140"/>
      <c r="M260" s="140"/>
      <c r="N260" s="140"/>
      <c r="O260" s="140"/>
      <c r="P260" s="138"/>
      <c r="Q260" s="138"/>
      <c r="R260" s="138"/>
      <c r="S260" s="138"/>
      <c r="T260" s="138"/>
      <c r="U260" s="138"/>
      <c r="V260" s="138"/>
      <c r="W260" s="138"/>
      <c r="X260" s="138"/>
      <c r="Y260" s="138"/>
      <c r="Z260" s="138"/>
      <c r="AA260" s="138"/>
      <c r="AB260" s="138"/>
    </row>
    <row r="261" spans="1:28">
      <c r="A261" s="140"/>
      <c r="B261" s="140"/>
      <c r="C261" s="140"/>
      <c r="D261" s="140"/>
      <c r="E261" s="140"/>
      <c r="F261" s="161"/>
      <c r="G261" s="161"/>
      <c r="H261" s="140"/>
      <c r="I261" s="161"/>
      <c r="J261" s="140"/>
      <c r="K261" s="161"/>
      <c r="L261" s="140"/>
      <c r="M261" s="140"/>
      <c r="N261" s="140"/>
      <c r="O261" s="140"/>
      <c r="P261" s="138"/>
      <c r="Q261" s="138"/>
      <c r="R261" s="138"/>
      <c r="S261" s="138"/>
      <c r="T261" s="138"/>
      <c r="U261" s="138"/>
      <c r="V261" s="138"/>
      <c r="W261" s="138"/>
      <c r="X261" s="138"/>
      <c r="Y261" s="138"/>
      <c r="Z261" s="138"/>
      <c r="AA261" s="138"/>
      <c r="AB261" s="138"/>
    </row>
    <row r="262" spans="1:28">
      <c r="A262" s="140"/>
      <c r="B262" s="140"/>
      <c r="C262" s="140"/>
      <c r="D262" s="140"/>
      <c r="E262" s="140"/>
      <c r="F262" s="161"/>
      <c r="G262" s="161"/>
      <c r="H262" s="140"/>
      <c r="I262" s="161"/>
      <c r="J262" s="140"/>
      <c r="K262" s="161"/>
      <c r="L262" s="140"/>
      <c r="M262" s="140"/>
      <c r="N262" s="140"/>
      <c r="O262" s="140"/>
      <c r="P262" s="138"/>
      <c r="Q262" s="138"/>
      <c r="R262" s="138"/>
      <c r="S262" s="138"/>
      <c r="T262" s="138"/>
      <c r="U262" s="138"/>
      <c r="V262" s="138"/>
      <c r="W262" s="138"/>
      <c r="X262" s="138"/>
      <c r="Y262" s="138"/>
      <c r="Z262" s="138"/>
      <c r="AA262" s="138"/>
      <c r="AB262" s="138"/>
    </row>
    <row r="263" spans="1:28">
      <c r="A263" s="140"/>
      <c r="B263" s="140"/>
      <c r="C263" s="140"/>
      <c r="D263" s="140"/>
      <c r="E263" s="140"/>
      <c r="F263" s="161"/>
      <c r="G263" s="161"/>
      <c r="H263" s="140"/>
      <c r="I263" s="161"/>
      <c r="J263" s="140"/>
      <c r="K263" s="161"/>
      <c r="L263" s="140"/>
      <c r="M263" s="140"/>
      <c r="N263" s="140"/>
      <c r="O263" s="140"/>
      <c r="P263" s="138"/>
      <c r="Q263" s="138"/>
      <c r="R263" s="138"/>
      <c r="S263" s="138"/>
      <c r="T263" s="138"/>
      <c r="U263" s="138"/>
      <c r="V263" s="138"/>
      <c r="W263" s="138"/>
      <c r="X263" s="138"/>
      <c r="Y263" s="138"/>
      <c r="Z263" s="138"/>
      <c r="AA263" s="138"/>
      <c r="AB263" s="138"/>
    </row>
    <row r="264" spans="1:28">
      <c r="A264" s="140"/>
      <c r="B264" s="140"/>
      <c r="C264" s="140"/>
      <c r="D264" s="140"/>
      <c r="E264" s="140"/>
      <c r="F264" s="161"/>
      <c r="G264" s="161"/>
      <c r="H264" s="140"/>
      <c r="I264" s="161"/>
      <c r="J264" s="140"/>
      <c r="K264" s="161"/>
      <c r="L264" s="140"/>
      <c r="M264" s="140"/>
      <c r="N264" s="140"/>
      <c r="O264" s="140"/>
      <c r="P264" s="138"/>
      <c r="Q264" s="138"/>
      <c r="R264" s="138"/>
      <c r="S264" s="138"/>
      <c r="T264" s="138"/>
      <c r="U264" s="138"/>
      <c r="V264" s="138"/>
      <c r="W264" s="138"/>
      <c r="X264" s="138"/>
      <c r="Y264" s="138"/>
      <c r="Z264" s="138"/>
      <c r="AA264" s="138"/>
      <c r="AB264" s="138"/>
    </row>
    <row r="265" spans="1:28">
      <c r="A265" s="140"/>
      <c r="B265" s="140"/>
      <c r="C265" s="140"/>
      <c r="D265" s="140"/>
      <c r="E265" s="140"/>
      <c r="F265" s="161"/>
      <c r="G265" s="161"/>
      <c r="H265" s="140"/>
      <c r="I265" s="161"/>
      <c r="J265" s="140"/>
      <c r="K265" s="161"/>
      <c r="L265" s="140"/>
      <c r="M265" s="140"/>
      <c r="N265" s="140"/>
      <c r="O265" s="140"/>
      <c r="P265" s="138"/>
      <c r="Q265" s="138"/>
      <c r="R265" s="138"/>
      <c r="S265" s="138"/>
      <c r="T265" s="138"/>
      <c r="U265" s="138"/>
      <c r="V265" s="138"/>
      <c r="W265" s="138"/>
      <c r="X265" s="138"/>
      <c r="Y265" s="138"/>
      <c r="Z265" s="138"/>
      <c r="AA265" s="138"/>
      <c r="AB265" s="138"/>
    </row>
    <row r="266" spans="1:28">
      <c r="A266" s="140"/>
      <c r="B266" s="140"/>
      <c r="C266" s="140"/>
      <c r="D266" s="140"/>
      <c r="E266" s="140"/>
      <c r="F266" s="161"/>
      <c r="G266" s="161"/>
      <c r="H266" s="140"/>
      <c r="I266" s="161"/>
      <c r="J266" s="140"/>
      <c r="K266" s="161"/>
      <c r="L266" s="140"/>
      <c r="M266" s="140"/>
      <c r="N266" s="140"/>
      <c r="O266" s="140"/>
      <c r="P266" s="138"/>
      <c r="Q266" s="138"/>
      <c r="R266" s="138"/>
      <c r="S266" s="138"/>
      <c r="T266" s="138"/>
      <c r="U266" s="138"/>
      <c r="V266" s="138"/>
      <c r="W266" s="138"/>
      <c r="X266" s="138"/>
      <c r="Y266" s="138"/>
      <c r="Z266" s="138"/>
      <c r="AA266" s="138"/>
      <c r="AB266" s="138"/>
    </row>
    <row r="267" spans="1:28">
      <c r="A267" s="140"/>
      <c r="B267" s="140"/>
      <c r="C267" s="140"/>
      <c r="D267" s="140"/>
      <c r="E267" s="140"/>
      <c r="F267" s="161"/>
      <c r="G267" s="161"/>
      <c r="H267" s="140"/>
      <c r="I267" s="161"/>
      <c r="J267" s="140"/>
      <c r="K267" s="161"/>
      <c r="L267" s="140"/>
      <c r="M267" s="140"/>
      <c r="N267" s="140"/>
      <c r="O267" s="140"/>
      <c r="P267" s="138"/>
      <c r="Q267" s="138"/>
      <c r="R267" s="138"/>
      <c r="S267" s="138"/>
      <c r="T267" s="138"/>
      <c r="U267" s="138"/>
      <c r="V267" s="138"/>
      <c r="W267" s="138"/>
      <c r="X267" s="138"/>
      <c r="Y267" s="138"/>
      <c r="Z267" s="138"/>
      <c r="AA267" s="138"/>
      <c r="AB267" s="138"/>
    </row>
    <row r="268" spans="1:28">
      <c r="A268" s="140"/>
      <c r="B268" s="140"/>
      <c r="C268" s="140"/>
      <c r="D268" s="140"/>
      <c r="E268" s="140"/>
      <c r="F268" s="161"/>
      <c r="G268" s="161"/>
      <c r="H268" s="140"/>
      <c r="I268" s="161"/>
      <c r="J268" s="140"/>
      <c r="K268" s="161"/>
      <c r="L268" s="140"/>
      <c r="M268" s="140"/>
      <c r="N268" s="140"/>
      <c r="O268" s="140"/>
      <c r="P268" s="138"/>
      <c r="Q268" s="138"/>
      <c r="R268" s="138"/>
      <c r="S268" s="138"/>
      <c r="T268" s="138"/>
      <c r="U268" s="138"/>
      <c r="V268" s="138"/>
      <c r="W268" s="138"/>
      <c r="X268" s="138"/>
      <c r="Y268" s="138"/>
      <c r="Z268" s="138"/>
      <c r="AA268" s="138"/>
      <c r="AB268" s="138"/>
    </row>
    <row r="269" spans="1:28">
      <c r="A269" s="140"/>
      <c r="B269" s="140"/>
      <c r="C269" s="140"/>
      <c r="D269" s="140"/>
      <c r="E269" s="140"/>
      <c r="F269" s="161"/>
      <c r="G269" s="161"/>
      <c r="H269" s="140"/>
      <c r="I269" s="161"/>
      <c r="J269" s="140"/>
      <c r="K269" s="161"/>
      <c r="L269" s="140"/>
      <c r="M269" s="140"/>
      <c r="N269" s="140"/>
      <c r="O269" s="140"/>
      <c r="P269" s="138"/>
      <c r="Q269" s="138"/>
      <c r="R269" s="138"/>
      <c r="S269" s="138"/>
      <c r="T269" s="138"/>
      <c r="U269" s="138"/>
      <c r="V269" s="138"/>
      <c r="W269" s="138"/>
      <c r="X269" s="138"/>
      <c r="Y269" s="138"/>
      <c r="Z269" s="138"/>
      <c r="AA269" s="138"/>
      <c r="AB269" s="138"/>
    </row>
    <row r="270" spans="1:28">
      <c r="A270" s="140"/>
      <c r="B270" s="140"/>
      <c r="C270" s="140"/>
      <c r="D270" s="140"/>
      <c r="E270" s="140"/>
      <c r="F270" s="161"/>
      <c r="G270" s="161"/>
      <c r="H270" s="140"/>
      <c r="I270" s="161"/>
      <c r="J270" s="140"/>
      <c r="K270" s="161"/>
      <c r="L270" s="140"/>
      <c r="M270" s="140"/>
      <c r="N270" s="140"/>
      <c r="O270" s="140"/>
      <c r="P270" s="138"/>
      <c r="Q270" s="138"/>
      <c r="R270" s="138"/>
      <c r="S270" s="138"/>
      <c r="T270" s="138"/>
      <c r="U270" s="138"/>
      <c r="V270" s="138"/>
      <c r="W270" s="138"/>
      <c r="X270" s="138"/>
      <c r="Y270" s="138"/>
      <c r="Z270" s="138"/>
      <c r="AA270" s="138"/>
      <c r="AB270" s="138"/>
    </row>
    <row r="271" spans="1:28">
      <c r="A271" s="140"/>
      <c r="B271" s="140"/>
      <c r="C271" s="140"/>
      <c r="D271" s="140"/>
      <c r="E271" s="140"/>
      <c r="F271" s="161"/>
      <c r="G271" s="161"/>
      <c r="H271" s="140"/>
      <c r="I271" s="161"/>
      <c r="J271" s="140"/>
      <c r="K271" s="161"/>
      <c r="L271" s="140"/>
      <c r="M271" s="140"/>
      <c r="N271" s="140"/>
      <c r="O271" s="140"/>
      <c r="P271" s="138"/>
      <c r="Q271" s="138"/>
      <c r="R271" s="138"/>
      <c r="S271" s="138"/>
      <c r="T271" s="138"/>
      <c r="U271" s="138"/>
      <c r="V271" s="138"/>
      <c r="W271" s="138"/>
      <c r="X271" s="138"/>
      <c r="Y271" s="138"/>
      <c r="Z271" s="138"/>
      <c r="AA271" s="138"/>
      <c r="AB271" s="138"/>
    </row>
    <row r="272" spans="1:28">
      <c r="A272" s="140"/>
      <c r="B272" s="140"/>
      <c r="C272" s="140"/>
      <c r="D272" s="140"/>
      <c r="E272" s="140"/>
      <c r="F272" s="161"/>
      <c r="G272" s="161"/>
      <c r="H272" s="140"/>
      <c r="I272" s="161"/>
      <c r="J272" s="140"/>
      <c r="K272" s="161"/>
      <c r="L272" s="140"/>
      <c r="M272" s="140"/>
      <c r="N272" s="140"/>
      <c r="O272" s="140"/>
      <c r="P272" s="138"/>
      <c r="Q272" s="138"/>
      <c r="R272" s="138"/>
      <c r="S272" s="138"/>
      <c r="T272" s="138"/>
      <c r="U272" s="138"/>
      <c r="V272" s="138"/>
      <c r="W272" s="138"/>
      <c r="X272" s="138"/>
      <c r="Y272" s="138"/>
      <c r="Z272" s="138"/>
      <c r="AA272" s="138"/>
      <c r="AB272" s="138"/>
    </row>
    <row r="273" spans="1:28">
      <c r="A273" s="140"/>
      <c r="B273" s="140"/>
      <c r="C273" s="140"/>
      <c r="D273" s="140"/>
      <c r="E273" s="140"/>
      <c r="F273" s="161"/>
      <c r="G273" s="161"/>
      <c r="H273" s="140"/>
      <c r="I273" s="161"/>
      <c r="J273" s="140"/>
      <c r="K273" s="161"/>
      <c r="L273" s="140"/>
      <c r="M273" s="140"/>
      <c r="N273" s="140"/>
      <c r="O273" s="140"/>
      <c r="P273" s="138"/>
      <c r="Q273" s="138"/>
      <c r="R273" s="138"/>
      <c r="S273" s="138"/>
      <c r="T273" s="138"/>
      <c r="U273" s="138"/>
      <c r="V273" s="138"/>
      <c r="W273" s="138"/>
      <c r="X273" s="138"/>
      <c r="Y273" s="138"/>
      <c r="Z273" s="138"/>
      <c r="AA273" s="138"/>
      <c r="AB273" s="138"/>
    </row>
    <row r="274" spans="1:28">
      <c r="A274" s="140"/>
      <c r="B274" s="140"/>
      <c r="C274" s="140"/>
      <c r="D274" s="140"/>
      <c r="E274" s="140"/>
      <c r="F274" s="161"/>
      <c r="G274" s="161"/>
      <c r="H274" s="140"/>
      <c r="I274" s="161"/>
      <c r="J274" s="140"/>
      <c r="K274" s="161"/>
      <c r="L274" s="140"/>
      <c r="M274" s="140"/>
      <c r="N274" s="140"/>
      <c r="O274" s="140"/>
      <c r="P274" s="138"/>
      <c r="Q274" s="138"/>
      <c r="R274" s="138"/>
      <c r="S274" s="138"/>
      <c r="T274" s="138"/>
      <c r="U274" s="138"/>
      <c r="V274" s="138"/>
      <c r="W274" s="138"/>
      <c r="X274" s="138"/>
      <c r="Y274" s="138"/>
      <c r="Z274" s="138"/>
      <c r="AA274" s="138"/>
      <c r="AB274" s="138"/>
    </row>
    <row r="275" spans="1:28">
      <c r="A275" s="140"/>
      <c r="B275" s="140"/>
      <c r="C275" s="140"/>
      <c r="D275" s="140"/>
      <c r="E275" s="140"/>
      <c r="F275" s="161"/>
      <c r="G275" s="161"/>
      <c r="H275" s="140"/>
      <c r="I275" s="161"/>
      <c r="J275" s="140"/>
      <c r="K275" s="161"/>
      <c r="L275" s="140"/>
      <c r="M275" s="140"/>
      <c r="N275" s="140"/>
      <c r="O275" s="140"/>
      <c r="P275" s="138"/>
      <c r="Q275" s="138"/>
      <c r="R275" s="138"/>
      <c r="S275" s="138"/>
      <c r="T275" s="138"/>
      <c r="U275" s="138"/>
      <c r="V275" s="138"/>
      <c r="W275" s="138"/>
      <c r="X275" s="138"/>
      <c r="Y275" s="138"/>
      <c r="Z275" s="138"/>
      <c r="AA275" s="138"/>
      <c r="AB275" s="138"/>
    </row>
    <row r="276" spans="1:28">
      <c r="A276" s="140"/>
      <c r="B276" s="140"/>
      <c r="C276" s="140"/>
      <c r="D276" s="140"/>
      <c r="E276" s="140"/>
      <c r="F276" s="161"/>
      <c r="G276" s="161"/>
      <c r="H276" s="140"/>
      <c r="I276" s="161"/>
      <c r="J276" s="140"/>
      <c r="K276" s="161"/>
      <c r="L276" s="140"/>
      <c r="M276" s="140"/>
      <c r="N276" s="140"/>
      <c r="O276" s="140"/>
      <c r="P276" s="138"/>
      <c r="Q276" s="138"/>
      <c r="R276" s="138"/>
      <c r="S276" s="138"/>
      <c r="T276" s="138"/>
      <c r="U276" s="138"/>
      <c r="V276" s="138"/>
      <c r="W276" s="138"/>
      <c r="X276" s="138"/>
      <c r="Y276" s="138"/>
      <c r="Z276" s="138"/>
      <c r="AA276" s="138"/>
      <c r="AB276" s="138"/>
    </row>
    <row r="277" spans="1:28">
      <c r="A277" s="140"/>
      <c r="B277" s="140"/>
      <c r="C277" s="140"/>
      <c r="D277" s="140"/>
      <c r="E277" s="140"/>
      <c r="F277" s="161"/>
      <c r="G277" s="161"/>
      <c r="H277" s="140"/>
      <c r="I277" s="161"/>
      <c r="J277" s="140"/>
      <c r="K277" s="161"/>
      <c r="L277" s="140"/>
      <c r="M277" s="140"/>
      <c r="N277" s="140"/>
      <c r="O277" s="140"/>
      <c r="P277" s="138"/>
      <c r="Q277" s="138"/>
      <c r="R277" s="138"/>
      <c r="S277" s="138"/>
      <c r="T277" s="138"/>
      <c r="U277" s="138"/>
      <c r="V277" s="138"/>
      <c r="W277" s="138"/>
      <c r="X277" s="138"/>
      <c r="Y277" s="138"/>
      <c r="Z277" s="138"/>
      <c r="AA277" s="138"/>
      <c r="AB277" s="138"/>
    </row>
    <row r="278" spans="1:28">
      <c r="A278" s="140"/>
      <c r="B278" s="140"/>
      <c r="C278" s="140"/>
      <c r="D278" s="140"/>
      <c r="E278" s="140"/>
      <c r="F278" s="161"/>
      <c r="G278" s="161"/>
      <c r="H278" s="140"/>
      <c r="I278" s="161"/>
      <c r="J278" s="140"/>
      <c r="K278" s="161"/>
      <c r="L278" s="140"/>
      <c r="M278" s="140"/>
      <c r="N278" s="140"/>
      <c r="O278" s="140"/>
      <c r="P278" s="138"/>
      <c r="Q278" s="138"/>
      <c r="R278" s="138"/>
      <c r="S278" s="138"/>
      <c r="T278" s="138"/>
      <c r="U278" s="138"/>
      <c r="V278" s="138"/>
      <c r="W278" s="138"/>
      <c r="X278" s="138"/>
      <c r="Y278" s="138"/>
      <c r="Z278" s="138"/>
      <c r="AA278" s="138"/>
      <c r="AB278" s="138"/>
    </row>
    <row r="279" spans="1:28">
      <c r="A279" s="140"/>
      <c r="B279" s="140"/>
      <c r="C279" s="140"/>
      <c r="D279" s="140"/>
      <c r="E279" s="140"/>
      <c r="F279" s="161"/>
      <c r="G279" s="161"/>
      <c r="H279" s="140"/>
      <c r="I279" s="161"/>
      <c r="J279" s="140"/>
      <c r="K279" s="161"/>
      <c r="L279" s="140"/>
      <c r="M279" s="140"/>
      <c r="N279" s="140"/>
      <c r="O279" s="140"/>
      <c r="P279" s="138"/>
      <c r="Q279" s="138"/>
      <c r="R279" s="138"/>
      <c r="S279" s="138"/>
      <c r="T279" s="138"/>
      <c r="U279" s="138"/>
      <c r="V279" s="138"/>
      <c r="W279" s="138"/>
      <c r="X279" s="138"/>
      <c r="Y279" s="138"/>
      <c r="Z279" s="138"/>
      <c r="AA279" s="138"/>
      <c r="AB279" s="138"/>
    </row>
    <row r="280" spans="1:28">
      <c r="A280" s="140"/>
      <c r="B280" s="140"/>
      <c r="C280" s="140"/>
      <c r="D280" s="140"/>
      <c r="E280" s="140"/>
      <c r="F280" s="161"/>
      <c r="G280" s="161"/>
      <c r="H280" s="140"/>
      <c r="I280" s="161"/>
      <c r="J280" s="140"/>
      <c r="K280" s="161"/>
      <c r="L280" s="140"/>
      <c r="M280" s="140"/>
      <c r="N280" s="140"/>
      <c r="O280" s="140"/>
      <c r="P280" s="138"/>
      <c r="Q280" s="138"/>
      <c r="R280" s="138"/>
      <c r="S280" s="138"/>
      <c r="T280" s="138"/>
      <c r="U280" s="138"/>
      <c r="V280" s="138"/>
      <c r="W280" s="138"/>
      <c r="X280" s="138"/>
      <c r="Y280" s="138"/>
      <c r="Z280" s="138"/>
      <c r="AA280" s="138"/>
      <c r="AB280" s="138"/>
    </row>
    <row r="281" spans="1:28">
      <c r="A281" s="140"/>
      <c r="B281" s="140"/>
      <c r="C281" s="140"/>
      <c r="D281" s="140"/>
      <c r="E281" s="140"/>
      <c r="F281" s="161"/>
      <c r="G281" s="161"/>
      <c r="H281" s="140"/>
      <c r="I281" s="161"/>
      <c r="J281" s="140"/>
      <c r="K281" s="161"/>
      <c r="L281" s="140"/>
      <c r="M281" s="140"/>
      <c r="N281" s="140"/>
      <c r="O281" s="140"/>
      <c r="P281" s="138"/>
      <c r="Q281" s="138"/>
      <c r="R281" s="138"/>
      <c r="S281" s="138"/>
      <c r="T281" s="138"/>
      <c r="U281" s="138"/>
      <c r="V281" s="138"/>
      <c r="W281" s="138"/>
      <c r="X281" s="138"/>
      <c r="Y281" s="138"/>
      <c r="Z281" s="138"/>
      <c r="AA281" s="138"/>
      <c r="AB281" s="138"/>
    </row>
    <row r="282" spans="1:28">
      <c r="A282" s="140"/>
      <c r="B282" s="140"/>
      <c r="C282" s="140"/>
      <c r="D282" s="140"/>
      <c r="E282" s="140"/>
      <c r="F282" s="161"/>
      <c r="G282" s="161"/>
      <c r="H282" s="140"/>
      <c r="I282" s="161"/>
      <c r="J282" s="140"/>
      <c r="K282" s="161"/>
      <c r="L282" s="140"/>
      <c r="M282" s="140"/>
      <c r="N282" s="140"/>
      <c r="O282" s="140"/>
      <c r="P282" s="138"/>
      <c r="Q282" s="138"/>
      <c r="R282" s="138"/>
      <c r="S282" s="138"/>
      <c r="T282" s="138"/>
      <c r="U282" s="138"/>
      <c r="V282" s="138"/>
      <c r="W282" s="138"/>
      <c r="X282" s="138"/>
      <c r="Y282" s="138"/>
      <c r="Z282" s="138"/>
      <c r="AA282" s="138"/>
      <c r="AB282" s="138"/>
    </row>
    <row r="283" spans="1:28">
      <c r="A283" s="140"/>
      <c r="B283" s="140"/>
      <c r="C283" s="140"/>
      <c r="D283" s="140"/>
      <c r="E283" s="140"/>
      <c r="F283" s="161"/>
      <c r="G283" s="161"/>
      <c r="H283" s="140"/>
      <c r="I283" s="161"/>
      <c r="J283" s="140"/>
      <c r="K283" s="161"/>
      <c r="L283" s="140"/>
      <c r="M283" s="140"/>
      <c r="N283" s="140"/>
      <c r="O283" s="140"/>
      <c r="P283" s="138"/>
      <c r="Q283" s="138"/>
      <c r="R283" s="138"/>
      <c r="S283" s="138"/>
      <c r="T283" s="138"/>
      <c r="U283" s="138"/>
      <c r="V283" s="138"/>
      <c r="W283" s="138"/>
      <c r="X283" s="138"/>
      <c r="Y283" s="138"/>
      <c r="Z283" s="138"/>
      <c r="AA283" s="138"/>
      <c r="AB283" s="138"/>
    </row>
    <row r="284" spans="1:28">
      <c r="A284" s="140"/>
      <c r="B284" s="140"/>
      <c r="C284" s="140"/>
      <c r="D284" s="140"/>
      <c r="E284" s="140"/>
      <c r="F284" s="161"/>
      <c r="G284" s="161"/>
      <c r="H284" s="140"/>
      <c r="I284" s="161"/>
      <c r="J284" s="140"/>
      <c r="K284" s="161"/>
      <c r="L284" s="140"/>
      <c r="M284" s="140"/>
      <c r="N284" s="140"/>
      <c r="O284" s="140"/>
      <c r="P284" s="138"/>
      <c r="Q284" s="138"/>
      <c r="R284" s="138"/>
      <c r="S284" s="138"/>
      <c r="T284" s="138"/>
      <c r="U284" s="138"/>
      <c r="V284" s="138"/>
      <c r="W284" s="138"/>
      <c r="X284" s="138"/>
      <c r="Y284" s="138"/>
      <c r="Z284" s="138"/>
      <c r="AA284" s="138"/>
      <c r="AB284" s="138"/>
    </row>
    <row r="285" spans="1:28">
      <c r="A285" s="140"/>
      <c r="B285" s="140"/>
      <c r="C285" s="140"/>
      <c r="D285" s="140"/>
      <c r="E285" s="140"/>
      <c r="F285" s="161"/>
      <c r="G285" s="161"/>
      <c r="H285" s="140"/>
      <c r="I285" s="161"/>
      <c r="J285" s="140"/>
      <c r="K285" s="161"/>
      <c r="L285" s="140"/>
      <c r="M285" s="140"/>
      <c r="N285" s="140"/>
      <c r="O285" s="140"/>
      <c r="P285" s="138"/>
      <c r="Q285" s="138"/>
      <c r="R285" s="138"/>
      <c r="S285" s="138"/>
      <c r="T285" s="138"/>
      <c r="U285" s="138"/>
      <c r="V285" s="138"/>
      <c r="W285" s="138"/>
      <c r="X285" s="138"/>
      <c r="Y285" s="138"/>
      <c r="Z285" s="138"/>
      <c r="AA285" s="138"/>
      <c r="AB285" s="138"/>
    </row>
    <row r="286" spans="1:28">
      <c r="A286" s="140"/>
      <c r="B286" s="140"/>
      <c r="C286" s="140"/>
      <c r="D286" s="140"/>
      <c r="E286" s="140"/>
      <c r="F286" s="161"/>
      <c r="G286" s="161"/>
      <c r="H286" s="140"/>
      <c r="I286" s="161"/>
      <c r="J286" s="140"/>
      <c r="K286" s="161"/>
      <c r="L286" s="140"/>
      <c r="M286" s="140"/>
      <c r="N286" s="140"/>
      <c r="O286" s="140"/>
      <c r="P286" s="138"/>
      <c r="Q286" s="138"/>
      <c r="R286" s="138"/>
      <c r="S286" s="138"/>
      <c r="T286" s="138"/>
      <c r="U286" s="138"/>
      <c r="V286" s="138"/>
      <c r="W286" s="138"/>
      <c r="X286" s="138"/>
      <c r="Y286" s="138"/>
      <c r="Z286" s="138"/>
      <c r="AA286" s="138"/>
      <c r="AB286" s="138"/>
    </row>
    <row r="287" spans="1:28">
      <c r="A287" s="140"/>
      <c r="B287" s="140"/>
      <c r="C287" s="140"/>
      <c r="D287" s="140"/>
      <c r="E287" s="140"/>
      <c r="F287" s="161"/>
      <c r="G287" s="161"/>
      <c r="H287" s="140"/>
      <c r="I287" s="161"/>
      <c r="J287" s="140"/>
      <c r="K287" s="161"/>
      <c r="L287" s="140"/>
      <c r="M287" s="140"/>
      <c r="N287" s="140"/>
      <c r="O287" s="140"/>
      <c r="P287" s="138"/>
      <c r="Q287" s="138"/>
      <c r="R287" s="138"/>
      <c r="S287" s="138"/>
      <c r="T287" s="138"/>
      <c r="U287" s="138"/>
      <c r="V287" s="138"/>
      <c r="W287" s="138"/>
      <c r="X287" s="138"/>
      <c r="Y287" s="138"/>
      <c r="Z287" s="138"/>
      <c r="AA287" s="138"/>
      <c r="AB287" s="138"/>
    </row>
    <row r="288" spans="1:28">
      <c r="A288" s="140"/>
      <c r="B288" s="140"/>
      <c r="C288" s="140"/>
      <c r="D288" s="140"/>
      <c r="E288" s="140"/>
      <c r="F288" s="161"/>
      <c r="G288" s="161"/>
      <c r="H288" s="140"/>
      <c r="I288" s="161"/>
      <c r="J288" s="140"/>
      <c r="K288" s="161"/>
      <c r="L288" s="140"/>
      <c r="M288" s="140"/>
      <c r="N288" s="140"/>
      <c r="O288" s="140"/>
      <c r="P288" s="138"/>
      <c r="Q288" s="138"/>
      <c r="R288" s="138"/>
      <c r="S288" s="138"/>
      <c r="T288" s="138"/>
      <c r="U288" s="138"/>
      <c r="V288" s="138"/>
      <c r="W288" s="138"/>
      <c r="X288" s="138"/>
      <c r="Y288" s="138"/>
      <c r="Z288" s="138"/>
      <c r="AA288" s="138"/>
      <c r="AB288" s="138"/>
    </row>
    <row r="289" spans="1:28">
      <c r="A289" s="140"/>
      <c r="B289" s="140"/>
      <c r="C289" s="140"/>
      <c r="D289" s="140"/>
      <c r="E289" s="140"/>
      <c r="F289" s="161"/>
      <c r="G289" s="161"/>
      <c r="H289" s="140"/>
      <c r="I289" s="161"/>
      <c r="J289" s="140"/>
      <c r="K289" s="161"/>
      <c r="L289" s="140"/>
      <c r="M289" s="140"/>
      <c r="N289" s="140"/>
      <c r="O289" s="140"/>
      <c r="P289" s="138"/>
      <c r="Q289" s="138"/>
      <c r="R289" s="138"/>
      <c r="S289" s="138"/>
      <c r="T289" s="138"/>
      <c r="U289" s="138"/>
      <c r="V289" s="138"/>
      <c r="W289" s="138"/>
      <c r="X289" s="138"/>
      <c r="Y289" s="138"/>
      <c r="Z289" s="138"/>
      <c r="AA289" s="138"/>
      <c r="AB289" s="138"/>
    </row>
    <row r="290" spans="1:28">
      <c r="A290" s="140"/>
      <c r="B290" s="140"/>
      <c r="C290" s="140"/>
      <c r="D290" s="140"/>
      <c r="E290" s="140"/>
      <c r="F290" s="161"/>
      <c r="G290" s="161"/>
      <c r="H290" s="140"/>
      <c r="I290" s="161"/>
      <c r="J290" s="140"/>
      <c r="K290" s="161"/>
      <c r="L290" s="140"/>
      <c r="M290" s="140"/>
      <c r="N290" s="140"/>
      <c r="O290" s="140"/>
      <c r="P290" s="138"/>
      <c r="Q290" s="138"/>
      <c r="R290" s="138"/>
      <c r="S290" s="138"/>
      <c r="T290" s="138"/>
      <c r="U290" s="138"/>
      <c r="V290" s="138"/>
      <c r="W290" s="138"/>
      <c r="X290" s="138"/>
      <c r="Y290" s="138"/>
      <c r="Z290" s="138"/>
      <c r="AA290" s="138"/>
      <c r="AB290" s="138"/>
    </row>
    <row r="291" spans="1:28">
      <c r="A291" s="140"/>
      <c r="B291" s="140"/>
      <c r="C291" s="140"/>
      <c r="D291" s="140"/>
      <c r="E291" s="140"/>
      <c r="F291" s="161"/>
      <c r="G291" s="161"/>
      <c r="H291" s="140"/>
      <c r="I291" s="161"/>
      <c r="J291" s="140"/>
      <c r="K291" s="161"/>
      <c r="L291" s="140"/>
      <c r="M291" s="140"/>
      <c r="N291" s="140"/>
      <c r="O291" s="140"/>
      <c r="P291" s="138"/>
      <c r="Q291" s="138"/>
      <c r="R291" s="138"/>
      <c r="S291" s="138"/>
      <c r="T291" s="138"/>
      <c r="U291" s="138"/>
      <c r="V291" s="138"/>
      <c r="W291" s="138"/>
      <c r="X291" s="138"/>
      <c r="Y291" s="138"/>
      <c r="Z291" s="138"/>
      <c r="AA291" s="138"/>
      <c r="AB291" s="138"/>
    </row>
    <row r="292" spans="1:28">
      <c r="A292" s="140"/>
      <c r="B292" s="140"/>
      <c r="C292" s="140"/>
      <c r="D292" s="140"/>
      <c r="E292" s="140"/>
      <c r="F292" s="161"/>
      <c r="G292" s="161"/>
      <c r="H292" s="140"/>
      <c r="I292" s="161"/>
      <c r="J292" s="140"/>
      <c r="K292" s="161"/>
      <c r="L292" s="140"/>
      <c r="M292" s="140"/>
      <c r="N292" s="140"/>
      <c r="O292" s="140"/>
      <c r="P292" s="138"/>
      <c r="Q292" s="138"/>
      <c r="R292" s="138"/>
      <c r="S292" s="138"/>
      <c r="T292" s="138"/>
      <c r="U292" s="138"/>
      <c r="V292" s="138"/>
      <c r="W292" s="138"/>
      <c r="X292" s="138"/>
      <c r="Y292" s="138"/>
      <c r="Z292" s="138"/>
      <c r="AA292" s="138"/>
      <c r="AB292" s="138"/>
    </row>
    <row r="293" spans="1:28">
      <c r="A293" s="140"/>
      <c r="B293" s="140"/>
      <c r="C293" s="140"/>
      <c r="D293" s="140"/>
      <c r="E293" s="140"/>
      <c r="F293" s="161"/>
      <c r="G293" s="161"/>
      <c r="H293" s="140"/>
      <c r="I293" s="161"/>
      <c r="J293" s="140"/>
      <c r="K293" s="161"/>
      <c r="L293" s="140"/>
      <c r="M293" s="140"/>
      <c r="N293" s="140"/>
      <c r="O293" s="140"/>
      <c r="P293" s="138"/>
      <c r="Q293" s="138"/>
      <c r="R293" s="138"/>
      <c r="S293" s="138"/>
      <c r="T293" s="138"/>
      <c r="U293" s="138"/>
      <c r="V293" s="138"/>
      <c r="W293" s="138"/>
      <c r="X293" s="138"/>
      <c r="Y293" s="138"/>
      <c r="Z293" s="138"/>
      <c r="AA293" s="138"/>
      <c r="AB293" s="138"/>
    </row>
    <row r="294" spans="1:28">
      <c r="A294" s="140"/>
      <c r="B294" s="140"/>
      <c r="C294" s="140"/>
      <c r="D294" s="140"/>
      <c r="E294" s="140"/>
      <c r="F294" s="161"/>
      <c r="G294" s="161"/>
      <c r="H294" s="140"/>
      <c r="I294" s="161"/>
      <c r="J294" s="140"/>
      <c r="K294" s="161"/>
      <c r="L294" s="140"/>
      <c r="M294" s="140"/>
      <c r="N294" s="140"/>
      <c r="O294" s="140"/>
      <c r="P294" s="138"/>
      <c r="Q294" s="138"/>
      <c r="R294" s="138"/>
      <c r="S294" s="138"/>
      <c r="T294" s="138"/>
      <c r="U294" s="138"/>
      <c r="V294" s="138"/>
      <c r="W294" s="138"/>
      <c r="X294" s="138"/>
      <c r="Y294" s="138"/>
      <c r="Z294" s="138"/>
      <c r="AA294" s="138"/>
      <c r="AB294" s="138"/>
    </row>
    <row r="295" spans="1:28">
      <c r="A295" s="140"/>
      <c r="B295" s="140"/>
      <c r="C295" s="140"/>
      <c r="D295" s="140"/>
      <c r="E295" s="140"/>
      <c r="F295" s="161"/>
      <c r="G295" s="161"/>
      <c r="H295" s="140"/>
      <c r="I295" s="161"/>
      <c r="J295" s="140"/>
      <c r="K295" s="161"/>
      <c r="L295" s="140"/>
      <c r="M295" s="140"/>
      <c r="N295" s="140"/>
      <c r="O295" s="140"/>
      <c r="P295" s="138"/>
      <c r="Q295" s="138"/>
      <c r="R295" s="138"/>
      <c r="S295" s="138"/>
      <c r="T295" s="138"/>
      <c r="U295" s="138"/>
      <c r="V295" s="138"/>
      <c r="W295" s="138"/>
      <c r="X295" s="138"/>
      <c r="Y295" s="138"/>
      <c r="Z295" s="138"/>
      <c r="AA295" s="138"/>
      <c r="AB295" s="138"/>
    </row>
    <row r="296" spans="1:28">
      <c r="A296" s="140"/>
      <c r="B296" s="140"/>
      <c r="C296" s="140"/>
      <c r="D296" s="140"/>
      <c r="E296" s="140"/>
      <c r="F296" s="161"/>
      <c r="G296" s="161"/>
      <c r="H296" s="140"/>
      <c r="I296" s="161"/>
      <c r="J296" s="140"/>
      <c r="K296" s="161"/>
      <c r="L296" s="140"/>
      <c r="M296" s="140"/>
      <c r="N296" s="140"/>
      <c r="O296" s="140"/>
      <c r="P296" s="138"/>
      <c r="Q296" s="138"/>
      <c r="R296" s="138"/>
      <c r="S296" s="138"/>
      <c r="T296" s="138"/>
      <c r="U296" s="138"/>
      <c r="V296" s="138"/>
      <c r="W296" s="138"/>
      <c r="X296" s="138"/>
      <c r="Y296" s="138"/>
      <c r="Z296" s="138"/>
      <c r="AA296" s="138"/>
      <c r="AB296" s="138"/>
    </row>
    <row r="297" spans="1:28">
      <c r="A297" s="140"/>
      <c r="B297" s="140"/>
      <c r="C297" s="140"/>
      <c r="D297" s="140"/>
      <c r="E297" s="140"/>
      <c r="F297" s="161"/>
      <c r="G297" s="161"/>
      <c r="H297" s="140"/>
      <c r="I297" s="161"/>
      <c r="J297" s="140"/>
      <c r="K297" s="161"/>
      <c r="L297" s="140"/>
      <c r="M297" s="140"/>
      <c r="N297" s="140"/>
      <c r="O297" s="140"/>
      <c r="P297" s="138"/>
      <c r="Q297" s="138"/>
      <c r="R297" s="138"/>
      <c r="S297" s="138"/>
      <c r="T297" s="138"/>
      <c r="U297" s="138"/>
      <c r="V297" s="138"/>
      <c r="W297" s="138"/>
      <c r="X297" s="138"/>
      <c r="Y297" s="138"/>
      <c r="Z297" s="138"/>
      <c r="AA297" s="138"/>
      <c r="AB297" s="138"/>
    </row>
    <row r="298" spans="1:28">
      <c r="A298" s="140"/>
      <c r="B298" s="140"/>
      <c r="C298" s="140"/>
      <c r="D298" s="140"/>
      <c r="E298" s="140"/>
      <c r="F298" s="161"/>
      <c r="G298" s="161"/>
      <c r="H298" s="140"/>
      <c r="I298" s="161"/>
      <c r="J298" s="140"/>
      <c r="K298" s="161"/>
      <c r="L298" s="140"/>
      <c r="M298" s="140"/>
      <c r="N298" s="140"/>
      <c r="O298" s="140"/>
      <c r="P298" s="138"/>
      <c r="Q298" s="138"/>
      <c r="R298" s="138"/>
      <c r="S298" s="138"/>
      <c r="T298" s="138"/>
      <c r="U298" s="138"/>
      <c r="V298" s="138"/>
      <c r="W298" s="138"/>
      <c r="X298" s="138"/>
      <c r="Y298" s="138"/>
      <c r="Z298" s="138"/>
      <c r="AA298" s="138"/>
      <c r="AB298" s="138"/>
    </row>
    <row r="299" spans="1:28">
      <c r="A299" s="140"/>
      <c r="B299" s="140"/>
      <c r="C299" s="140"/>
      <c r="D299" s="140"/>
      <c r="E299" s="140"/>
      <c r="F299" s="161"/>
      <c r="G299" s="161"/>
      <c r="H299" s="140"/>
      <c r="I299" s="161"/>
      <c r="J299" s="140"/>
      <c r="K299" s="161"/>
      <c r="L299" s="140"/>
      <c r="M299" s="140"/>
      <c r="N299" s="140"/>
      <c r="O299" s="140"/>
      <c r="P299" s="138"/>
      <c r="Q299" s="138"/>
      <c r="R299" s="138"/>
      <c r="S299" s="138"/>
      <c r="T299" s="138"/>
      <c r="U299" s="138"/>
      <c r="V299" s="138"/>
      <c r="W299" s="138"/>
      <c r="X299" s="138"/>
      <c r="Y299" s="138"/>
      <c r="Z299" s="138"/>
      <c r="AA299" s="138"/>
      <c r="AB299" s="138"/>
    </row>
    <row r="300" spans="1:28">
      <c r="A300" s="140"/>
      <c r="B300" s="140"/>
      <c r="C300" s="140"/>
      <c r="D300" s="140"/>
      <c r="E300" s="140"/>
      <c r="F300" s="161"/>
      <c r="G300" s="161"/>
      <c r="H300" s="140"/>
      <c r="I300" s="161"/>
      <c r="J300" s="140"/>
      <c r="K300" s="161"/>
      <c r="L300" s="140"/>
      <c r="M300" s="140"/>
      <c r="N300" s="140"/>
      <c r="O300" s="140"/>
      <c r="P300" s="138"/>
      <c r="Q300" s="138"/>
      <c r="R300" s="138"/>
      <c r="S300" s="138"/>
      <c r="T300" s="138"/>
      <c r="U300" s="138"/>
      <c r="V300" s="138"/>
      <c r="W300" s="138"/>
      <c r="X300" s="138"/>
      <c r="Y300" s="138"/>
      <c r="Z300" s="138"/>
      <c r="AA300" s="138"/>
      <c r="AB300" s="138"/>
    </row>
    <row r="301" spans="1:28">
      <c r="A301" s="140"/>
      <c r="B301" s="140"/>
      <c r="C301" s="140"/>
      <c r="D301" s="140"/>
      <c r="E301" s="140"/>
      <c r="F301" s="161"/>
      <c r="G301" s="161"/>
      <c r="H301" s="140"/>
      <c r="I301" s="161"/>
      <c r="J301" s="140"/>
      <c r="K301" s="161"/>
      <c r="L301" s="140"/>
      <c r="M301" s="140"/>
      <c r="N301" s="140"/>
      <c r="O301" s="140"/>
      <c r="P301" s="138"/>
      <c r="Q301" s="138"/>
      <c r="R301" s="138"/>
      <c r="S301" s="138"/>
      <c r="T301" s="138"/>
      <c r="U301" s="138"/>
      <c r="V301" s="138"/>
      <c r="W301" s="138"/>
      <c r="X301" s="138"/>
      <c r="Y301" s="138"/>
      <c r="Z301" s="138"/>
      <c r="AA301" s="138"/>
      <c r="AB301" s="138"/>
    </row>
    <row r="302" spans="1:28">
      <c r="A302" s="141"/>
      <c r="B302" s="141"/>
      <c r="C302" s="141"/>
      <c r="D302" s="141"/>
      <c r="E302" s="141"/>
      <c r="F302" s="161"/>
      <c r="G302" s="161"/>
      <c r="H302" s="141"/>
      <c r="I302" s="161"/>
      <c r="J302" s="141"/>
      <c r="K302" s="161"/>
      <c r="L302" s="141"/>
      <c r="M302" s="141"/>
      <c r="N302" s="141"/>
      <c r="O302" s="141"/>
      <c r="P302" s="138"/>
      <c r="Q302" s="138"/>
      <c r="R302" s="138"/>
      <c r="S302" s="138"/>
      <c r="T302" s="138"/>
      <c r="U302" s="138"/>
      <c r="V302" s="138"/>
      <c r="W302" s="138"/>
      <c r="X302" s="138"/>
      <c r="Y302" s="138"/>
      <c r="Z302" s="138"/>
      <c r="AA302" s="138"/>
      <c r="AB302" s="138"/>
    </row>
    <row r="303" spans="1:28">
      <c r="A303" s="141"/>
      <c r="B303" s="141"/>
      <c r="C303" s="141"/>
      <c r="D303" s="141"/>
      <c r="E303" s="141"/>
      <c r="F303" s="161"/>
      <c r="G303" s="161"/>
      <c r="H303" s="141"/>
      <c r="I303" s="161"/>
      <c r="J303" s="141"/>
      <c r="K303" s="161"/>
      <c r="L303" s="141"/>
      <c r="M303" s="141"/>
      <c r="N303" s="141"/>
      <c r="O303" s="141"/>
      <c r="P303" s="138"/>
      <c r="Q303" s="138"/>
      <c r="R303" s="138"/>
      <c r="S303" s="138"/>
      <c r="T303" s="138"/>
      <c r="U303" s="138"/>
      <c r="V303" s="138"/>
      <c r="W303" s="138"/>
      <c r="X303" s="138"/>
      <c r="Y303" s="138"/>
      <c r="Z303" s="138"/>
      <c r="AA303" s="138"/>
      <c r="AB303" s="138"/>
    </row>
    <row r="304" spans="1:28">
      <c r="A304" s="141"/>
      <c r="B304" s="141"/>
      <c r="C304" s="141"/>
      <c r="D304" s="141"/>
      <c r="E304" s="141"/>
      <c r="F304" s="161"/>
      <c r="G304" s="161"/>
      <c r="H304" s="141"/>
      <c r="I304" s="161"/>
      <c r="J304" s="141"/>
      <c r="K304" s="161"/>
      <c r="L304" s="141"/>
      <c r="M304" s="141"/>
      <c r="N304" s="141"/>
      <c r="O304" s="141"/>
      <c r="P304" s="138"/>
      <c r="Q304" s="138"/>
      <c r="R304" s="138"/>
      <c r="S304" s="138"/>
      <c r="T304" s="138"/>
      <c r="U304" s="138"/>
      <c r="V304" s="138"/>
      <c r="W304" s="138"/>
      <c r="X304" s="138"/>
      <c r="Y304" s="138"/>
      <c r="Z304" s="138"/>
      <c r="AA304" s="138"/>
      <c r="AB304" s="138"/>
    </row>
    <row r="305" spans="1:28">
      <c r="A305" s="141"/>
      <c r="B305" s="141"/>
      <c r="C305" s="141"/>
      <c r="D305" s="141"/>
      <c r="E305" s="141"/>
      <c r="F305" s="161"/>
      <c r="G305" s="161"/>
      <c r="H305" s="141"/>
      <c r="I305" s="161"/>
      <c r="J305" s="141"/>
      <c r="K305" s="161"/>
      <c r="L305" s="141"/>
      <c r="M305" s="141"/>
      <c r="N305" s="141"/>
      <c r="O305" s="141"/>
      <c r="P305" s="138"/>
      <c r="Q305" s="138"/>
      <c r="R305" s="138"/>
      <c r="S305" s="138"/>
      <c r="T305" s="138"/>
      <c r="U305" s="138"/>
      <c r="V305" s="138"/>
      <c r="W305" s="138"/>
      <c r="X305" s="138"/>
      <c r="Y305" s="138"/>
      <c r="Z305" s="138"/>
      <c r="AA305" s="138"/>
      <c r="AB305" s="138"/>
    </row>
    <row r="306" spans="1:28">
      <c r="A306" s="141"/>
      <c r="B306" s="141"/>
      <c r="C306" s="141"/>
      <c r="D306" s="141"/>
      <c r="E306" s="141"/>
      <c r="F306" s="161"/>
      <c r="G306" s="161"/>
      <c r="H306" s="141"/>
      <c r="I306" s="161"/>
      <c r="J306" s="141"/>
      <c r="K306" s="161"/>
      <c r="L306" s="141"/>
      <c r="M306" s="141"/>
      <c r="N306" s="141"/>
      <c r="O306" s="141"/>
      <c r="P306" s="138"/>
      <c r="Q306" s="138"/>
      <c r="R306" s="138"/>
      <c r="S306" s="138"/>
      <c r="T306" s="138"/>
      <c r="U306" s="138"/>
      <c r="V306" s="138"/>
      <c r="W306" s="138"/>
      <c r="X306" s="138"/>
      <c r="Y306" s="138"/>
      <c r="Z306" s="138"/>
      <c r="AA306" s="138"/>
      <c r="AB306" s="138"/>
    </row>
    <row r="307" spans="1:28">
      <c r="A307" s="141"/>
      <c r="B307" s="141"/>
      <c r="C307" s="141"/>
      <c r="D307" s="141"/>
      <c r="E307" s="141"/>
      <c r="F307" s="161"/>
      <c r="G307" s="161"/>
      <c r="H307" s="141"/>
      <c r="I307" s="161"/>
      <c r="J307" s="141"/>
      <c r="K307" s="161"/>
      <c r="L307" s="141"/>
      <c r="M307" s="141"/>
      <c r="N307" s="141"/>
      <c r="O307" s="141"/>
      <c r="P307" s="138"/>
      <c r="Q307" s="138"/>
      <c r="R307" s="138"/>
      <c r="S307" s="138"/>
      <c r="T307" s="138"/>
      <c r="U307" s="138"/>
      <c r="V307" s="138"/>
      <c r="W307" s="138"/>
      <c r="X307" s="138"/>
      <c r="Y307" s="138"/>
      <c r="Z307" s="138"/>
      <c r="AA307" s="138"/>
      <c r="AB307" s="138"/>
    </row>
    <row r="308" spans="1:28">
      <c r="A308" s="141"/>
      <c r="B308" s="141"/>
      <c r="C308" s="141"/>
      <c r="D308" s="141"/>
      <c r="E308" s="141"/>
      <c r="F308" s="161"/>
      <c r="G308" s="161"/>
      <c r="H308" s="141"/>
      <c r="I308" s="161"/>
      <c r="J308" s="141"/>
      <c r="K308" s="161"/>
      <c r="L308" s="141"/>
      <c r="M308" s="141"/>
      <c r="N308" s="141"/>
      <c r="O308" s="141"/>
      <c r="P308" s="138"/>
      <c r="Q308" s="138"/>
      <c r="R308" s="138"/>
      <c r="S308" s="138"/>
      <c r="T308" s="138"/>
      <c r="U308" s="138"/>
      <c r="V308" s="138"/>
      <c r="W308" s="138"/>
      <c r="X308" s="138"/>
      <c r="Y308" s="138"/>
      <c r="Z308" s="138"/>
      <c r="AA308" s="138"/>
      <c r="AB308" s="138"/>
    </row>
    <row r="309" spans="1:28">
      <c r="A309" s="141"/>
      <c r="B309" s="141"/>
      <c r="C309" s="141"/>
      <c r="D309" s="141"/>
      <c r="E309" s="141"/>
      <c r="F309" s="161"/>
      <c r="G309" s="161"/>
      <c r="H309" s="141"/>
      <c r="I309" s="161"/>
      <c r="J309" s="141"/>
      <c r="K309" s="161"/>
      <c r="L309" s="141"/>
      <c r="M309" s="141"/>
      <c r="N309" s="141"/>
      <c r="O309" s="141"/>
      <c r="P309" s="138"/>
      <c r="Q309" s="138"/>
      <c r="R309" s="138"/>
      <c r="S309" s="138"/>
      <c r="T309" s="138"/>
      <c r="U309" s="138"/>
      <c r="V309" s="138"/>
      <c r="W309" s="138"/>
      <c r="X309" s="138"/>
      <c r="Y309" s="138"/>
      <c r="Z309" s="138"/>
      <c r="AA309" s="138"/>
      <c r="AB309" s="138"/>
    </row>
    <row r="310" spans="1:28">
      <c r="A310" s="141"/>
      <c r="B310" s="141"/>
      <c r="C310" s="141"/>
      <c r="D310" s="141"/>
      <c r="E310" s="141"/>
      <c r="F310" s="161"/>
      <c r="G310" s="161"/>
      <c r="H310" s="141"/>
      <c r="I310" s="161"/>
      <c r="J310" s="141"/>
      <c r="K310" s="161"/>
      <c r="L310" s="141"/>
      <c r="M310" s="141"/>
      <c r="N310" s="141"/>
      <c r="O310" s="141"/>
      <c r="Q310" s="138"/>
      <c r="R310" s="138"/>
      <c r="S310" s="138"/>
      <c r="T310" s="138"/>
      <c r="U310" s="138"/>
      <c r="V310" s="138"/>
      <c r="W310" s="138"/>
      <c r="X310" s="138"/>
      <c r="Y310" s="138"/>
      <c r="Z310" s="138"/>
      <c r="AA310" s="138"/>
      <c r="AB310" s="138"/>
    </row>
    <row r="311" spans="1:28">
      <c r="A311" s="141"/>
      <c r="B311" s="141"/>
      <c r="C311" s="141"/>
      <c r="D311" s="141"/>
      <c r="E311" s="141"/>
      <c r="F311" s="161"/>
      <c r="G311" s="161"/>
      <c r="H311" s="141"/>
      <c r="I311" s="161"/>
      <c r="J311" s="141"/>
      <c r="K311" s="161"/>
      <c r="L311" s="141"/>
      <c r="M311" s="141"/>
      <c r="N311" s="141"/>
      <c r="O311" s="141"/>
      <c r="Q311" s="138"/>
      <c r="R311" s="138"/>
      <c r="S311" s="138"/>
      <c r="T311" s="138"/>
      <c r="U311" s="138"/>
      <c r="V311" s="138"/>
      <c r="W311" s="138"/>
      <c r="X311" s="138"/>
      <c r="Y311" s="138"/>
      <c r="Z311" s="138"/>
      <c r="AA311" s="138"/>
      <c r="AB311" s="138"/>
    </row>
    <row r="312" spans="1:28">
      <c r="A312" s="141"/>
      <c r="B312" s="141"/>
      <c r="C312" s="141"/>
      <c r="D312" s="141"/>
      <c r="E312" s="141"/>
      <c r="F312" s="161"/>
      <c r="G312" s="161"/>
      <c r="H312" s="141"/>
      <c r="I312" s="161"/>
      <c r="J312" s="141"/>
      <c r="K312" s="161"/>
      <c r="L312" s="141"/>
      <c r="M312" s="141"/>
      <c r="N312" s="141"/>
      <c r="O312" s="141"/>
      <c r="Q312" s="138"/>
      <c r="R312" s="138"/>
      <c r="S312" s="138"/>
      <c r="T312" s="138"/>
      <c r="U312" s="138"/>
      <c r="V312" s="138"/>
      <c r="W312" s="138"/>
      <c r="X312" s="138"/>
      <c r="Y312" s="138"/>
      <c r="Z312" s="138"/>
      <c r="AA312" s="138"/>
      <c r="AB312" s="138"/>
    </row>
    <row r="313" spans="1:28">
      <c r="A313" s="141"/>
      <c r="B313" s="141"/>
      <c r="C313" s="141"/>
      <c r="D313" s="141"/>
      <c r="E313" s="141"/>
      <c r="F313" s="161"/>
      <c r="G313" s="161"/>
      <c r="H313" s="141"/>
      <c r="I313" s="161"/>
      <c r="J313" s="141"/>
      <c r="K313" s="161"/>
      <c r="L313" s="141"/>
      <c r="M313" s="141"/>
      <c r="N313" s="141"/>
      <c r="O313" s="141"/>
      <c r="Q313" s="138"/>
      <c r="R313" s="138"/>
      <c r="S313" s="138"/>
      <c r="T313" s="138"/>
      <c r="U313" s="138"/>
      <c r="V313" s="138"/>
      <c r="W313" s="138"/>
      <c r="X313" s="138"/>
      <c r="Y313" s="138"/>
      <c r="Z313" s="138"/>
      <c r="AA313" s="138"/>
      <c r="AB313" s="138"/>
    </row>
    <row r="314" spans="1:28">
      <c r="A314" s="141"/>
      <c r="B314" s="141"/>
      <c r="C314" s="141"/>
      <c r="D314" s="141"/>
      <c r="E314" s="141"/>
      <c r="F314" s="161"/>
      <c r="G314" s="161"/>
      <c r="H314" s="141"/>
      <c r="I314" s="161"/>
      <c r="J314" s="141"/>
      <c r="K314" s="161"/>
      <c r="L314" s="141"/>
      <c r="M314" s="141"/>
      <c r="N314" s="141"/>
      <c r="O314" s="141"/>
      <c r="Q314" s="138"/>
      <c r="R314" s="138"/>
      <c r="S314" s="138"/>
      <c r="T314" s="138"/>
      <c r="U314" s="138"/>
      <c r="V314" s="138"/>
      <c r="W314" s="138"/>
      <c r="X314" s="138"/>
      <c r="Y314" s="138"/>
      <c r="Z314" s="138"/>
      <c r="AA314" s="138"/>
      <c r="AB314" s="138"/>
    </row>
    <row r="315" spans="1:28">
      <c r="A315" s="141"/>
      <c r="B315" s="141"/>
      <c r="C315" s="141"/>
      <c r="D315" s="141"/>
      <c r="E315" s="141"/>
      <c r="F315" s="161"/>
      <c r="G315" s="161"/>
      <c r="H315" s="141"/>
      <c r="I315" s="161"/>
      <c r="J315" s="141"/>
      <c r="K315" s="161"/>
      <c r="L315" s="141"/>
      <c r="M315" s="141"/>
      <c r="N315" s="141"/>
      <c r="O315" s="141"/>
      <c r="Q315" s="138"/>
      <c r="R315" s="138"/>
      <c r="S315" s="138"/>
      <c r="T315" s="138"/>
      <c r="U315" s="138"/>
      <c r="V315" s="138"/>
      <c r="W315" s="138"/>
      <c r="X315" s="138"/>
      <c r="Y315" s="138"/>
      <c r="Z315" s="138"/>
      <c r="AA315" s="138"/>
      <c r="AB315" s="138"/>
    </row>
    <row r="316" spans="1:28">
      <c r="A316" s="141"/>
      <c r="B316" s="141"/>
      <c r="C316" s="141"/>
      <c r="D316" s="141"/>
      <c r="E316" s="141"/>
      <c r="F316" s="161"/>
      <c r="G316" s="161"/>
      <c r="H316" s="141"/>
      <c r="I316" s="161"/>
      <c r="J316" s="141"/>
      <c r="K316" s="161"/>
      <c r="L316" s="141"/>
      <c r="M316" s="141"/>
      <c r="N316" s="141"/>
      <c r="O316" s="141"/>
      <c r="Q316" s="138"/>
      <c r="R316" s="138"/>
      <c r="S316" s="138"/>
      <c r="T316" s="138"/>
      <c r="U316" s="138"/>
      <c r="V316" s="138"/>
      <c r="W316" s="138"/>
      <c r="X316" s="138"/>
      <c r="Y316" s="138"/>
      <c r="Z316" s="138"/>
      <c r="AA316" s="138"/>
      <c r="AB316" s="138"/>
    </row>
    <row r="317" spans="1:28">
      <c r="A317" s="141"/>
      <c r="B317" s="141"/>
      <c r="C317" s="141"/>
      <c r="D317" s="141"/>
      <c r="E317" s="141"/>
      <c r="F317" s="161"/>
      <c r="G317" s="161"/>
      <c r="H317" s="141"/>
      <c r="I317" s="161"/>
      <c r="J317" s="141"/>
      <c r="K317" s="161"/>
      <c r="L317" s="141"/>
      <c r="M317" s="141"/>
      <c r="N317" s="141"/>
      <c r="O317" s="141"/>
      <c r="Q317" s="138"/>
      <c r="R317" s="138"/>
      <c r="S317" s="138"/>
      <c r="T317" s="138"/>
      <c r="U317" s="138"/>
      <c r="V317" s="138"/>
      <c r="W317" s="138"/>
      <c r="X317" s="138"/>
      <c r="Y317" s="138"/>
      <c r="Z317" s="138"/>
      <c r="AA317" s="138"/>
      <c r="AB317" s="138"/>
    </row>
    <row r="318" spans="1:28">
      <c r="A318" s="141"/>
      <c r="B318" s="141"/>
      <c r="C318" s="141"/>
      <c r="D318" s="141"/>
      <c r="E318" s="141"/>
      <c r="F318" s="161"/>
      <c r="G318" s="161"/>
      <c r="H318" s="141"/>
      <c r="I318" s="161"/>
      <c r="J318" s="141"/>
      <c r="K318" s="161"/>
      <c r="L318" s="141"/>
      <c r="M318" s="141"/>
      <c r="N318" s="141"/>
      <c r="O318" s="141"/>
      <c r="Q318" s="138"/>
      <c r="R318" s="138"/>
      <c r="S318" s="138"/>
      <c r="T318" s="138"/>
      <c r="U318" s="138"/>
      <c r="V318" s="138"/>
      <c r="W318" s="138"/>
      <c r="X318" s="138"/>
      <c r="Y318" s="138"/>
      <c r="Z318" s="138"/>
      <c r="AA318" s="138"/>
      <c r="AB318" s="138"/>
    </row>
    <row r="319" spans="1:28">
      <c r="A319" s="141"/>
      <c r="B319" s="141"/>
      <c r="C319" s="141"/>
      <c r="D319" s="141"/>
      <c r="E319" s="141"/>
      <c r="F319" s="161"/>
      <c r="G319" s="161"/>
      <c r="H319" s="141"/>
      <c r="I319" s="161"/>
      <c r="J319" s="141"/>
      <c r="K319" s="161"/>
      <c r="L319" s="141"/>
      <c r="M319" s="141"/>
      <c r="N319" s="141"/>
      <c r="O319" s="141"/>
      <c r="Q319" s="138"/>
      <c r="R319" s="138"/>
      <c r="S319" s="138"/>
      <c r="T319" s="138"/>
      <c r="U319" s="138"/>
      <c r="V319" s="138"/>
      <c r="W319" s="138"/>
      <c r="X319" s="138"/>
      <c r="Y319" s="138"/>
      <c r="Z319" s="138"/>
      <c r="AA319" s="138"/>
      <c r="AB319" s="138"/>
    </row>
    <row r="320" spans="1:28">
      <c r="A320" s="141"/>
      <c r="B320" s="141"/>
      <c r="C320" s="141"/>
      <c r="D320" s="141"/>
      <c r="E320" s="141"/>
      <c r="F320" s="161"/>
      <c r="G320" s="161"/>
      <c r="H320" s="141"/>
      <c r="I320" s="161"/>
      <c r="J320" s="141"/>
      <c r="K320" s="161"/>
      <c r="L320" s="141"/>
      <c r="M320" s="141"/>
      <c r="N320" s="141"/>
      <c r="O320" s="141"/>
      <c r="Q320" s="138"/>
      <c r="R320" s="138"/>
      <c r="S320" s="138"/>
      <c r="T320" s="138"/>
      <c r="U320" s="138"/>
      <c r="V320" s="138"/>
      <c r="W320" s="138"/>
      <c r="X320" s="138"/>
      <c r="Y320" s="138"/>
      <c r="Z320" s="138"/>
      <c r="AA320" s="138"/>
      <c r="AB320" s="138"/>
    </row>
    <row r="321" spans="1:28">
      <c r="A321" s="141"/>
      <c r="B321" s="141"/>
      <c r="C321" s="141"/>
      <c r="D321" s="141"/>
      <c r="E321" s="141"/>
      <c r="F321" s="161"/>
      <c r="G321" s="161"/>
      <c r="H321" s="141"/>
      <c r="I321" s="161"/>
      <c r="J321" s="141"/>
      <c r="K321" s="161"/>
      <c r="L321" s="141"/>
      <c r="M321" s="141"/>
      <c r="N321" s="141"/>
      <c r="O321" s="141"/>
      <c r="Q321" s="138"/>
      <c r="R321" s="138"/>
      <c r="S321" s="138"/>
      <c r="T321" s="138"/>
      <c r="U321" s="138"/>
      <c r="V321" s="138"/>
      <c r="W321" s="138"/>
      <c r="X321" s="138"/>
      <c r="Y321" s="138"/>
      <c r="Z321" s="138"/>
      <c r="AA321" s="138"/>
      <c r="AB321" s="138"/>
    </row>
    <row r="322" spans="1:28">
      <c r="A322" s="141"/>
      <c r="B322" s="141"/>
      <c r="C322" s="141"/>
      <c r="D322" s="141"/>
      <c r="E322" s="141"/>
      <c r="F322" s="161"/>
      <c r="G322" s="161"/>
      <c r="H322" s="141"/>
      <c r="I322" s="161"/>
      <c r="J322" s="141"/>
      <c r="K322" s="161"/>
      <c r="L322" s="141"/>
      <c r="M322" s="141"/>
      <c r="N322" s="141"/>
      <c r="O322" s="141"/>
      <c r="Q322" s="138"/>
      <c r="R322" s="138"/>
      <c r="S322" s="138"/>
      <c r="T322" s="138"/>
      <c r="U322" s="138"/>
      <c r="V322" s="138"/>
      <c r="W322" s="138"/>
      <c r="X322" s="138"/>
      <c r="Y322" s="138"/>
      <c r="Z322" s="138"/>
      <c r="AA322" s="138"/>
      <c r="AB322" s="138"/>
    </row>
    <row r="323" spans="1:28">
      <c r="A323" s="141"/>
      <c r="B323" s="141"/>
      <c r="C323" s="141"/>
      <c r="D323" s="141"/>
      <c r="E323" s="141"/>
      <c r="F323" s="161"/>
      <c r="G323" s="161"/>
      <c r="H323" s="141"/>
      <c r="I323" s="161"/>
      <c r="J323" s="141"/>
      <c r="K323" s="161"/>
      <c r="L323" s="141"/>
      <c r="M323" s="141"/>
      <c r="N323" s="141"/>
      <c r="O323" s="141"/>
      <c r="Q323" s="138"/>
      <c r="R323" s="138"/>
      <c r="S323" s="138"/>
      <c r="T323" s="138"/>
      <c r="U323" s="138"/>
      <c r="V323" s="138"/>
      <c r="W323" s="138"/>
      <c r="X323" s="138"/>
      <c r="Y323" s="138"/>
      <c r="Z323" s="138"/>
      <c r="AA323" s="138"/>
      <c r="AB323" s="138"/>
    </row>
    <row r="324" spans="1:28">
      <c r="A324" s="141"/>
      <c r="B324" s="141"/>
      <c r="C324" s="141"/>
      <c r="D324" s="141"/>
      <c r="E324" s="141"/>
      <c r="F324" s="161"/>
      <c r="G324" s="161"/>
      <c r="H324" s="141"/>
      <c r="I324" s="161"/>
      <c r="J324" s="141"/>
      <c r="K324" s="161"/>
      <c r="L324" s="141"/>
      <c r="M324" s="141"/>
      <c r="N324" s="141"/>
      <c r="O324" s="141"/>
      <c r="Q324" s="138"/>
      <c r="R324" s="138"/>
      <c r="S324" s="138"/>
      <c r="T324" s="138"/>
      <c r="U324" s="138"/>
      <c r="V324" s="138"/>
      <c r="W324" s="138"/>
      <c r="X324" s="138"/>
      <c r="Y324" s="138"/>
      <c r="Z324" s="138"/>
      <c r="AA324" s="138"/>
      <c r="AB324" s="138"/>
    </row>
    <row r="325" spans="1:28">
      <c r="A325" s="141"/>
      <c r="B325" s="141"/>
      <c r="C325" s="141"/>
      <c r="D325" s="141"/>
      <c r="E325" s="141"/>
      <c r="F325" s="161"/>
      <c r="G325" s="161"/>
      <c r="H325" s="141"/>
      <c r="I325" s="161"/>
      <c r="J325" s="141"/>
      <c r="K325" s="161"/>
      <c r="L325" s="141"/>
      <c r="M325" s="141"/>
      <c r="N325" s="141"/>
      <c r="O325" s="141"/>
      <c r="Q325" s="138"/>
      <c r="R325" s="138"/>
      <c r="S325" s="138"/>
      <c r="T325" s="138"/>
      <c r="U325" s="138"/>
      <c r="V325" s="138"/>
      <c r="W325" s="138"/>
      <c r="X325" s="138"/>
      <c r="Y325" s="138"/>
      <c r="Z325" s="138"/>
      <c r="AA325" s="138"/>
      <c r="AB325" s="138"/>
    </row>
    <row r="326" spans="1:28">
      <c r="A326" s="141"/>
      <c r="B326" s="141"/>
      <c r="C326" s="141"/>
      <c r="D326" s="141"/>
      <c r="E326" s="141"/>
      <c r="F326" s="161"/>
      <c r="G326" s="161"/>
      <c r="H326" s="141"/>
      <c r="I326" s="161"/>
      <c r="J326" s="141"/>
      <c r="K326" s="161"/>
      <c r="L326" s="141"/>
      <c r="M326" s="141"/>
      <c r="N326" s="141"/>
      <c r="O326" s="141"/>
      <c r="Q326" s="138"/>
      <c r="R326" s="138"/>
      <c r="S326" s="138"/>
      <c r="T326" s="138"/>
      <c r="U326" s="138"/>
      <c r="V326" s="138"/>
      <c r="W326" s="138"/>
      <c r="X326" s="138"/>
      <c r="Y326" s="138"/>
      <c r="Z326" s="138"/>
      <c r="AA326" s="138"/>
      <c r="AB326" s="138"/>
    </row>
    <row r="327" spans="1:28" s="141" customFormat="1">
      <c r="F327" s="161"/>
      <c r="G327" s="161"/>
      <c r="I327" s="161"/>
      <c r="K327" s="161"/>
      <c r="Q327" s="143"/>
      <c r="R327" s="143"/>
      <c r="S327" s="143"/>
      <c r="T327" s="140"/>
      <c r="U327" s="140"/>
      <c r="V327" s="140"/>
      <c r="W327" s="140"/>
      <c r="X327" s="140"/>
      <c r="Y327" s="140"/>
      <c r="Z327" s="140"/>
    </row>
    <row r="328" spans="1:28" s="141" customFormat="1">
      <c r="F328" s="161"/>
      <c r="G328" s="161"/>
      <c r="I328" s="161"/>
      <c r="K328" s="161"/>
      <c r="Q328" s="143"/>
      <c r="R328" s="143"/>
      <c r="S328" s="143"/>
      <c r="T328" s="140"/>
      <c r="U328" s="140"/>
      <c r="V328" s="140"/>
      <c r="W328" s="140"/>
      <c r="X328" s="140"/>
      <c r="Y328" s="140"/>
      <c r="Z328" s="140"/>
    </row>
    <row r="329" spans="1:28" s="141" customFormat="1">
      <c r="F329" s="161"/>
      <c r="G329" s="161"/>
      <c r="I329" s="161"/>
      <c r="K329" s="161"/>
      <c r="Q329" s="143"/>
      <c r="R329" s="143"/>
      <c r="S329" s="143"/>
      <c r="T329" s="140"/>
      <c r="U329" s="140"/>
      <c r="V329" s="140"/>
      <c r="W329" s="140"/>
      <c r="X329" s="140"/>
      <c r="Y329" s="140"/>
      <c r="Z329" s="140"/>
    </row>
    <row r="330" spans="1:28" s="141" customFormat="1">
      <c r="F330" s="161"/>
      <c r="G330" s="161"/>
      <c r="I330" s="161"/>
      <c r="K330" s="161"/>
      <c r="Q330" s="143"/>
      <c r="R330" s="143"/>
      <c r="S330" s="143"/>
      <c r="T330" s="140"/>
      <c r="U330" s="140"/>
      <c r="V330" s="140"/>
      <c r="W330" s="140"/>
      <c r="X330" s="140"/>
      <c r="Y330" s="140"/>
      <c r="Z330" s="140"/>
    </row>
    <row r="331" spans="1:28" s="141" customFormat="1">
      <c r="F331" s="161"/>
      <c r="G331" s="161"/>
      <c r="I331" s="161"/>
      <c r="K331" s="161"/>
      <c r="Q331" s="143"/>
      <c r="R331" s="143"/>
      <c r="S331" s="143"/>
      <c r="T331" s="140"/>
      <c r="U331" s="140"/>
      <c r="V331" s="140"/>
      <c r="W331" s="140"/>
      <c r="X331" s="140"/>
      <c r="Y331" s="140"/>
      <c r="Z331" s="140"/>
    </row>
    <row r="332" spans="1:28" s="141" customFormat="1">
      <c r="F332" s="161"/>
      <c r="G332" s="161"/>
      <c r="I332" s="161"/>
      <c r="K332" s="161"/>
      <c r="Q332" s="143"/>
      <c r="R332" s="143"/>
      <c r="S332" s="143"/>
      <c r="T332" s="140"/>
      <c r="U332" s="140"/>
      <c r="V332" s="140"/>
      <c r="W332" s="140"/>
      <c r="X332" s="140"/>
      <c r="Y332" s="140"/>
      <c r="Z332" s="140"/>
    </row>
    <row r="333" spans="1:28" s="141" customFormat="1">
      <c r="F333" s="161"/>
      <c r="G333" s="161"/>
      <c r="I333" s="161"/>
      <c r="K333" s="161"/>
      <c r="Q333" s="143"/>
      <c r="R333" s="143"/>
      <c r="S333" s="143"/>
      <c r="T333" s="140"/>
      <c r="U333" s="140"/>
      <c r="V333" s="140"/>
      <c r="W333" s="140"/>
      <c r="X333" s="140"/>
      <c r="Y333" s="140"/>
      <c r="Z333" s="140"/>
    </row>
    <row r="334" spans="1:28" s="141" customFormat="1">
      <c r="F334" s="161"/>
      <c r="G334" s="161"/>
      <c r="I334" s="161"/>
      <c r="K334" s="161"/>
      <c r="Q334" s="143"/>
      <c r="R334" s="143"/>
      <c r="S334" s="143"/>
      <c r="T334" s="140"/>
      <c r="U334" s="140"/>
      <c r="V334" s="140"/>
      <c r="W334" s="140"/>
      <c r="X334" s="140"/>
      <c r="Y334" s="140"/>
      <c r="Z334" s="140"/>
    </row>
    <row r="335" spans="1:28" s="141" customFormat="1">
      <c r="F335" s="161"/>
      <c r="G335" s="161"/>
      <c r="I335" s="161"/>
      <c r="K335" s="161"/>
      <c r="Q335" s="143"/>
      <c r="R335" s="143"/>
      <c r="S335" s="143"/>
      <c r="T335" s="140"/>
      <c r="U335" s="140"/>
      <c r="V335" s="140"/>
      <c r="W335" s="140"/>
      <c r="X335" s="140"/>
      <c r="Y335" s="140"/>
      <c r="Z335" s="140"/>
    </row>
    <row r="336" spans="1:28" s="141" customFormat="1">
      <c r="F336" s="161"/>
      <c r="G336" s="161"/>
      <c r="I336" s="161"/>
      <c r="K336" s="161"/>
      <c r="Q336" s="143"/>
      <c r="R336" s="143"/>
      <c r="S336" s="143"/>
      <c r="T336" s="140"/>
      <c r="U336" s="140"/>
      <c r="V336" s="140"/>
      <c r="W336" s="140"/>
      <c r="X336" s="140"/>
      <c r="Y336" s="140"/>
      <c r="Z336" s="140"/>
    </row>
    <row r="337" spans="6:26" s="141" customFormat="1">
      <c r="F337" s="161"/>
      <c r="G337" s="161"/>
      <c r="I337" s="161"/>
      <c r="K337" s="161"/>
      <c r="Q337" s="143"/>
      <c r="R337" s="143"/>
      <c r="S337" s="143"/>
      <c r="T337" s="140"/>
      <c r="U337" s="140"/>
      <c r="V337" s="140"/>
      <c r="W337" s="140"/>
      <c r="X337" s="140"/>
      <c r="Y337" s="140"/>
      <c r="Z337" s="140"/>
    </row>
    <row r="338" spans="6:26" s="141" customFormat="1">
      <c r="F338" s="161"/>
      <c r="G338" s="161"/>
      <c r="I338" s="161"/>
      <c r="K338" s="161"/>
      <c r="Q338" s="143"/>
      <c r="R338" s="143"/>
      <c r="S338" s="143"/>
      <c r="T338" s="140"/>
      <c r="U338" s="140"/>
      <c r="V338" s="140"/>
      <c r="W338" s="140"/>
      <c r="X338" s="140"/>
      <c r="Y338" s="140"/>
      <c r="Z338" s="140"/>
    </row>
    <row r="339" spans="6:26" s="141" customFormat="1">
      <c r="F339" s="161"/>
      <c r="G339" s="161"/>
      <c r="I339" s="161"/>
      <c r="K339" s="161"/>
      <c r="Q339" s="143"/>
      <c r="R339" s="143"/>
      <c r="S339" s="143"/>
      <c r="T339" s="140"/>
      <c r="U339" s="140"/>
      <c r="V339" s="140"/>
      <c r="W339" s="140"/>
      <c r="X339" s="140"/>
      <c r="Y339" s="140"/>
      <c r="Z339" s="140"/>
    </row>
    <row r="340" spans="6:26" s="141" customFormat="1">
      <c r="F340" s="161"/>
      <c r="G340" s="161"/>
      <c r="I340" s="161"/>
      <c r="K340" s="161"/>
      <c r="Q340" s="143"/>
      <c r="R340" s="143"/>
      <c r="S340" s="143"/>
      <c r="T340" s="140"/>
      <c r="U340" s="140"/>
      <c r="V340" s="140"/>
      <c r="W340" s="140"/>
      <c r="X340" s="140"/>
      <c r="Y340" s="140"/>
      <c r="Z340" s="140"/>
    </row>
    <row r="341" spans="6:26" s="141" customFormat="1">
      <c r="F341" s="161"/>
      <c r="G341" s="161"/>
      <c r="I341" s="161"/>
      <c r="K341" s="161"/>
      <c r="Q341" s="143"/>
      <c r="R341" s="143"/>
      <c r="S341" s="143"/>
      <c r="T341" s="140"/>
      <c r="U341" s="140"/>
      <c r="V341" s="140"/>
      <c r="W341" s="140"/>
      <c r="X341" s="140"/>
      <c r="Y341" s="140"/>
      <c r="Z341" s="140"/>
    </row>
    <row r="342" spans="6:26" s="141" customFormat="1">
      <c r="F342" s="161"/>
      <c r="G342" s="161"/>
      <c r="I342" s="161"/>
      <c r="K342" s="161"/>
      <c r="Q342" s="143"/>
      <c r="R342" s="143"/>
      <c r="S342" s="143"/>
      <c r="T342" s="140"/>
      <c r="U342" s="140"/>
      <c r="V342" s="140"/>
      <c r="W342" s="140"/>
      <c r="X342" s="140"/>
      <c r="Y342" s="140"/>
      <c r="Z342" s="140"/>
    </row>
    <row r="343" spans="6:26" s="141" customFormat="1">
      <c r="F343" s="161"/>
      <c r="G343" s="161"/>
      <c r="I343" s="161"/>
      <c r="K343" s="161"/>
      <c r="Q343" s="143"/>
      <c r="R343" s="143"/>
      <c r="S343" s="143"/>
      <c r="T343" s="140"/>
      <c r="U343" s="140"/>
      <c r="V343" s="140"/>
      <c r="W343" s="140"/>
      <c r="X343" s="140"/>
      <c r="Y343" s="140"/>
      <c r="Z343" s="140"/>
    </row>
    <row r="344" spans="6:26" s="141" customFormat="1">
      <c r="F344" s="161"/>
      <c r="G344" s="161"/>
      <c r="I344" s="161"/>
      <c r="K344" s="161"/>
      <c r="Q344" s="143"/>
      <c r="R344" s="143"/>
      <c r="S344" s="143"/>
      <c r="T344" s="140"/>
      <c r="U344" s="140"/>
      <c r="V344" s="140"/>
      <c r="W344" s="140"/>
      <c r="X344" s="140"/>
      <c r="Y344" s="140"/>
      <c r="Z344" s="140"/>
    </row>
    <row r="345" spans="6:26" s="141" customFormat="1">
      <c r="F345" s="161"/>
      <c r="G345" s="161"/>
      <c r="I345" s="161"/>
      <c r="K345" s="161"/>
      <c r="Q345" s="143"/>
      <c r="R345" s="143"/>
      <c r="S345" s="143"/>
      <c r="T345" s="140"/>
      <c r="U345" s="140"/>
      <c r="V345" s="140"/>
      <c r="W345" s="140"/>
      <c r="X345" s="140"/>
      <c r="Y345" s="140"/>
      <c r="Z345" s="140"/>
    </row>
    <row r="346" spans="6:26" s="141" customFormat="1">
      <c r="F346" s="161"/>
      <c r="G346" s="161"/>
      <c r="I346" s="161"/>
      <c r="K346" s="161"/>
      <c r="Q346" s="143"/>
      <c r="R346" s="143"/>
      <c r="S346" s="143"/>
      <c r="T346" s="140"/>
      <c r="U346" s="140"/>
      <c r="V346" s="140"/>
      <c r="W346" s="140"/>
      <c r="X346" s="140"/>
      <c r="Y346" s="140"/>
      <c r="Z346" s="140"/>
    </row>
    <row r="347" spans="6:26" s="141" customFormat="1">
      <c r="F347" s="161"/>
      <c r="G347" s="161"/>
      <c r="I347" s="161"/>
      <c r="K347" s="161"/>
      <c r="Q347" s="143"/>
      <c r="R347" s="143"/>
      <c r="S347" s="143"/>
      <c r="T347" s="140"/>
      <c r="U347" s="140"/>
      <c r="V347" s="140"/>
      <c r="W347" s="140"/>
      <c r="X347" s="140"/>
      <c r="Y347" s="140"/>
      <c r="Z347" s="140"/>
    </row>
    <row r="348" spans="6:26" s="141" customFormat="1">
      <c r="F348" s="161"/>
      <c r="G348" s="161"/>
      <c r="I348" s="161"/>
      <c r="K348" s="161"/>
      <c r="Q348" s="143"/>
      <c r="R348" s="143"/>
      <c r="S348" s="143"/>
      <c r="T348" s="140"/>
      <c r="U348" s="140"/>
      <c r="V348" s="140"/>
      <c r="W348" s="140"/>
      <c r="X348" s="140"/>
      <c r="Y348" s="140"/>
      <c r="Z348" s="140"/>
    </row>
    <row r="349" spans="6:26" s="141" customFormat="1">
      <c r="F349" s="161"/>
      <c r="G349" s="161"/>
      <c r="I349" s="161"/>
      <c r="K349" s="161"/>
      <c r="Q349" s="143"/>
      <c r="R349" s="143"/>
      <c r="S349" s="143"/>
      <c r="T349" s="140"/>
      <c r="U349" s="140"/>
      <c r="V349" s="140"/>
      <c r="W349" s="140"/>
      <c r="X349" s="140"/>
      <c r="Y349" s="140"/>
      <c r="Z349" s="140"/>
    </row>
    <row r="350" spans="6:26" s="141" customFormat="1">
      <c r="F350" s="161"/>
      <c r="G350" s="161"/>
      <c r="I350" s="161"/>
      <c r="K350" s="161"/>
      <c r="Q350" s="143"/>
      <c r="R350" s="143"/>
      <c r="S350" s="143"/>
      <c r="T350" s="140"/>
      <c r="U350" s="140"/>
      <c r="V350" s="140"/>
      <c r="W350" s="140"/>
      <c r="X350" s="140"/>
      <c r="Y350" s="140"/>
      <c r="Z350" s="140"/>
    </row>
    <row r="351" spans="6:26" s="141" customFormat="1">
      <c r="F351" s="161"/>
      <c r="G351" s="161"/>
      <c r="I351" s="161"/>
      <c r="K351" s="161"/>
      <c r="Q351" s="143"/>
      <c r="R351" s="143"/>
      <c r="S351" s="143"/>
      <c r="T351" s="140"/>
      <c r="U351" s="140"/>
      <c r="V351" s="140"/>
      <c r="W351" s="140"/>
      <c r="X351" s="140"/>
      <c r="Y351" s="140"/>
      <c r="Z351" s="140"/>
    </row>
    <row r="352" spans="6:26" s="141" customFormat="1">
      <c r="F352" s="161"/>
      <c r="G352" s="161"/>
      <c r="I352" s="161"/>
      <c r="K352" s="161"/>
      <c r="Q352" s="143"/>
      <c r="R352" s="143"/>
      <c r="S352" s="143"/>
      <c r="T352" s="140"/>
      <c r="U352" s="140"/>
      <c r="V352" s="140"/>
      <c r="W352" s="140"/>
      <c r="X352" s="140"/>
      <c r="Y352" s="140"/>
      <c r="Z352" s="140"/>
    </row>
    <row r="353" spans="6:26" s="141" customFormat="1">
      <c r="F353" s="161"/>
      <c r="G353" s="161"/>
      <c r="I353" s="161"/>
      <c r="K353" s="161"/>
      <c r="Q353" s="143"/>
      <c r="R353" s="143"/>
      <c r="S353" s="143"/>
      <c r="T353" s="140"/>
      <c r="U353" s="140"/>
      <c r="V353" s="140"/>
      <c r="W353" s="140"/>
      <c r="X353" s="140"/>
      <c r="Y353" s="140"/>
      <c r="Z353" s="140"/>
    </row>
    <row r="354" spans="6:26" s="141" customFormat="1">
      <c r="F354" s="161"/>
      <c r="G354" s="161"/>
      <c r="I354" s="161"/>
      <c r="K354" s="161"/>
      <c r="Q354" s="143"/>
      <c r="R354" s="143"/>
      <c r="S354" s="143"/>
      <c r="T354" s="140"/>
      <c r="U354" s="140"/>
      <c r="V354" s="140"/>
      <c r="W354" s="140"/>
      <c r="X354" s="140"/>
      <c r="Y354" s="140"/>
      <c r="Z354" s="140"/>
    </row>
    <row r="355" spans="6:26" s="141" customFormat="1">
      <c r="F355" s="161"/>
      <c r="G355" s="161"/>
      <c r="I355" s="161"/>
      <c r="K355" s="161"/>
      <c r="Q355" s="143"/>
      <c r="R355" s="143"/>
      <c r="S355" s="143"/>
      <c r="T355" s="140"/>
      <c r="U355" s="140"/>
      <c r="V355" s="140"/>
      <c r="W355" s="140"/>
      <c r="X355" s="140"/>
      <c r="Y355" s="140"/>
      <c r="Z355" s="140"/>
    </row>
    <row r="356" spans="6:26" s="141" customFormat="1">
      <c r="F356" s="161"/>
      <c r="G356" s="161"/>
      <c r="I356" s="161"/>
      <c r="K356" s="161"/>
      <c r="Q356" s="143"/>
      <c r="R356" s="143"/>
      <c r="S356" s="143"/>
      <c r="T356" s="140"/>
      <c r="U356" s="140"/>
      <c r="V356" s="140"/>
      <c r="W356" s="140"/>
      <c r="X356" s="140"/>
      <c r="Y356" s="140"/>
      <c r="Z356" s="140"/>
    </row>
    <row r="357" spans="6:26" s="141" customFormat="1">
      <c r="F357" s="161"/>
      <c r="G357" s="161"/>
      <c r="I357" s="161"/>
      <c r="K357" s="161"/>
      <c r="Q357" s="143"/>
      <c r="R357" s="143"/>
      <c r="S357" s="143"/>
      <c r="T357" s="140"/>
      <c r="U357" s="140"/>
      <c r="V357" s="140"/>
      <c r="W357" s="140"/>
      <c r="X357" s="140"/>
      <c r="Y357" s="140"/>
      <c r="Z357" s="140"/>
    </row>
    <row r="358" spans="6:26" s="141" customFormat="1">
      <c r="F358" s="161"/>
      <c r="G358" s="161"/>
      <c r="I358" s="161"/>
      <c r="K358" s="161"/>
      <c r="Q358" s="143"/>
      <c r="R358" s="143"/>
      <c r="S358" s="143"/>
      <c r="T358" s="140"/>
      <c r="U358" s="140"/>
      <c r="V358" s="140"/>
      <c r="W358" s="140"/>
      <c r="X358" s="140"/>
      <c r="Y358" s="140"/>
      <c r="Z358" s="140"/>
    </row>
    <row r="359" spans="6:26" s="141" customFormat="1">
      <c r="F359" s="161"/>
      <c r="G359" s="161"/>
      <c r="I359" s="161"/>
      <c r="K359" s="161"/>
      <c r="Q359" s="143"/>
      <c r="R359" s="143"/>
      <c r="S359" s="143"/>
      <c r="T359" s="140"/>
      <c r="U359" s="140"/>
      <c r="V359" s="140"/>
      <c r="W359" s="140"/>
      <c r="X359" s="140"/>
      <c r="Y359" s="140"/>
      <c r="Z359" s="140"/>
    </row>
    <row r="360" spans="6:26" s="141" customFormat="1">
      <c r="F360" s="161"/>
      <c r="G360" s="161"/>
      <c r="I360" s="161"/>
      <c r="K360" s="161"/>
      <c r="Q360" s="143"/>
      <c r="R360" s="143"/>
      <c r="S360" s="143"/>
      <c r="T360" s="140"/>
      <c r="U360" s="140"/>
      <c r="V360" s="140"/>
      <c r="W360" s="140"/>
      <c r="X360" s="140"/>
      <c r="Y360" s="140"/>
      <c r="Z360" s="140"/>
    </row>
    <row r="361" spans="6:26" s="141" customFormat="1">
      <c r="F361" s="161"/>
      <c r="G361" s="161"/>
      <c r="I361" s="161"/>
      <c r="K361" s="161"/>
      <c r="Q361" s="143"/>
      <c r="R361" s="143"/>
      <c r="S361" s="143"/>
      <c r="T361" s="140"/>
      <c r="U361" s="140"/>
      <c r="V361" s="140"/>
      <c r="W361" s="140"/>
      <c r="X361" s="140"/>
      <c r="Y361" s="140"/>
      <c r="Z361" s="140"/>
    </row>
    <row r="362" spans="6:26" s="141" customFormat="1">
      <c r="F362" s="161"/>
      <c r="G362" s="161"/>
      <c r="I362" s="161"/>
      <c r="K362" s="161"/>
      <c r="Q362" s="143"/>
      <c r="R362" s="143"/>
      <c r="S362" s="143"/>
      <c r="T362" s="140"/>
      <c r="U362" s="140"/>
      <c r="V362" s="140"/>
      <c r="W362" s="140"/>
      <c r="X362" s="140"/>
      <c r="Y362" s="140"/>
      <c r="Z362" s="140"/>
    </row>
    <row r="363" spans="6:26" s="141" customFormat="1">
      <c r="F363" s="161"/>
      <c r="G363" s="161"/>
      <c r="I363" s="161"/>
      <c r="K363" s="161"/>
      <c r="Q363" s="143"/>
      <c r="R363" s="143"/>
      <c r="S363" s="143"/>
      <c r="T363" s="140"/>
      <c r="U363" s="140"/>
      <c r="V363" s="140"/>
      <c r="W363" s="140"/>
      <c r="X363" s="140"/>
      <c r="Y363" s="140"/>
      <c r="Z363" s="140"/>
    </row>
    <row r="364" spans="6:26" s="141" customFormat="1">
      <c r="F364" s="161"/>
      <c r="G364" s="161"/>
      <c r="I364" s="161"/>
      <c r="K364" s="161"/>
      <c r="Q364" s="143"/>
      <c r="R364" s="143"/>
      <c r="S364" s="143"/>
      <c r="T364" s="140"/>
      <c r="U364" s="140"/>
      <c r="V364" s="140"/>
      <c r="W364" s="140"/>
      <c r="X364" s="140"/>
      <c r="Y364" s="140"/>
      <c r="Z364" s="140"/>
    </row>
    <row r="365" spans="6:26" s="141" customFormat="1">
      <c r="F365" s="161"/>
      <c r="G365" s="161"/>
      <c r="I365" s="161"/>
      <c r="K365" s="161"/>
      <c r="Q365" s="143"/>
      <c r="R365" s="143"/>
      <c r="S365" s="143"/>
      <c r="T365" s="140"/>
      <c r="U365" s="140"/>
      <c r="V365" s="140"/>
      <c r="W365" s="140"/>
      <c r="X365" s="140"/>
      <c r="Y365" s="140"/>
      <c r="Z365" s="140"/>
    </row>
    <row r="366" spans="6:26" s="141" customFormat="1">
      <c r="F366" s="161"/>
      <c r="G366" s="161"/>
      <c r="I366" s="161"/>
      <c r="K366" s="161"/>
      <c r="Q366" s="143"/>
      <c r="R366" s="143"/>
      <c r="S366" s="143"/>
      <c r="T366" s="140"/>
      <c r="U366" s="140"/>
      <c r="V366" s="140"/>
      <c r="W366" s="140"/>
      <c r="X366" s="140"/>
      <c r="Y366" s="140"/>
      <c r="Z366" s="140"/>
    </row>
    <row r="367" spans="6:26" s="141" customFormat="1">
      <c r="F367" s="161"/>
      <c r="G367" s="161"/>
      <c r="I367" s="161"/>
      <c r="K367" s="161"/>
      <c r="Q367" s="143"/>
      <c r="R367" s="143"/>
      <c r="S367" s="143"/>
      <c r="T367" s="140"/>
      <c r="U367" s="140"/>
      <c r="V367" s="140"/>
      <c r="W367" s="140"/>
      <c r="X367" s="140"/>
      <c r="Y367" s="140"/>
      <c r="Z367" s="140"/>
    </row>
    <row r="368" spans="6:26" s="141" customFormat="1">
      <c r="F368" s="161"/>
      <c r="G368" s="161"/>
      <c r="I368" s="161"/>
      <c r="K368" s="161"/>
      <c r="Q368" s="143"/>
      <c r="R368" s="143"/>
      <c r="S368" s="143"/>
      <c r="T368" s="140"/>
      <c r="U368" s="140"/>
      <c r="V368" s="140"/>
      <c r="W368" s="140"/>
      <c r="X368" s="140"/>
      <c r="Y368" s="140"/>
      <c r="Z368" s="140"/>
    </row>
    <row r="369" spans="6:26" s="141" customFormat="1">
      <c r="F369" s="161"/>
      <c r="G369" s="161"/>
      <c r="I369" s="161"/>
      <c r="K369" s="161"/>
      <c r="Q369" s="143"/>
      <c r="R369" s="143"/>
      <c r="S369" s="143"/>
      <c r="T369" s="140"/>
      <c r="U369" s="140"/>
      <c r="V369" s="140"/>
      <c r="W369" s="140"/>
      <c r="X369" s="140"/>
      <c r="Y369" s="140"/>
      <c r="Z369" s="140"/>
    </row>
    <row r="370" spans="6:26" s="141" customFormat="1">
      <c r="F370" s="161"/>
      <c r="G370" s="161"/>
      <c r="I370" s="161"/>
      <c r="K370" s="161"/>
      <c r="Q370" s="143"/>
      <c r="R370" s="143"/>
      <c r="S370" s="143"/>
      <c r="T370" s="140"/>
      <c r="U370" s="140"/>
      <c r="V370" s="140"/>
      <c r="W370" s="140"/>
      <c r="X370" s="140"/>
      <c r="Y370" s="140"/>
      <c r="Z370" s="140"/>
    </row>
    <row r="371" spans="6:26" s="141" customFormat="1">
      <c r="F371" s="161"/>
      <c r="G371" s="161"/>
      <c r="I371" s="161"/>
      <c r="K371" s="161"/>
      <c r="Q371" s="143"/>
      <c r="R371" s="143"/>
      <c r="S371" s="143"/>
      <c r="T371" s="140"/>
      <c r="U371" s="140"/>
      <c r="V371" s="140"/>
      <c r="W371" s="140"/>
      <c r="X371" s="140"/>
      <c r="Y371" s="140"/>
      <c r="Z371" s="140"/>
    </row>
    <row r="372" spans="6:26" s="141" customFormat="1">
      <c r="F372" s="161"/>
      <c r="G372" s="161"/>
      <c r="I372" s="161"/>
      <c r="K372" s="161"/>
      <c r="Q372" s="143"/>
      <c r="R372" s="143"/>
      <c r="S372" s="143"/>
      <c r="T372" s="140"/>
      <c r="U372" s="140"/>
      <c r="V372" s="140"/>
      <c r="W372" s="140"/>
      <c r="X372" s="140"/>
      <c r="Y372" s="140"/>
      <c r="Z372" s="140"/>
    </row>
    <row r="373" spans="6:26" s="141" customFormat="1">
      <c r="F373" s="161"/>
      <c r="G373" s="161"/>
      <c r="I373" s="161"/>
      <c r="K373" s="161"/>
      <c r="Q373" s="143"/>
      <c r="R373" s="143"/>
      <c r="S373" s="143"/>
      <c r="T373" s="140"/>
      <c r="U373" s="140"/>
      <c r="V373" s="140"/>
      <c r="W373" s="140"/>
      <c r="X373" s="140"/>
      <c r="Y373" s="140"/>
      <c r="Z373" s="140"/>
    </row>
    <row r="374" spans="6:26" s="141" customFormat="1">
      <c r="F374" s="161"/>
      <c r="G374" s="161"/>
      <c r="I374" s="161"/>
      <c r="K374" s="161"/>
      <c r="Q374" s="143"/>
      <c r="R374" s="143"/>
      <c r="S374" s="143"/>
      <c r="T374" s="140"/>
      <c r="U374" s="140"/>
      <c r="V374" s="140"/>
      <c r="W374" s="140"/>
      <c r="X374" s="140"/>
      <c r="Y374" s="140"/>
      <c r="Z374" s="140"/>
    </row>
    <row r="375" spans="6:26" s="141" customFormat="1">
      <c r="F375" s="161"/>
      <c r="G375" s="161"/>
      <c r="I375" s="161"/>
      <c r="K375" s="161"/>
      <c r="Q375" s="143"/>
      <c r="R375" s="143"/>
      <c r="S375" s="143"/>
      <c r="T375" s="140"/>
      <c r="U375" s="140"/>
      <c r="V375" s="140"/>
      <c r="W375" s="140"/>
      <c r="X375" s="140"/>
      <c r="Y375" s="140"/>
      <c r="Z375" s="140"/>
    </row>
    <row r="376" spans="6:26" s="141" customFormat="1">
      <c r="F376" s="161"/>
      <c r="G376" s="161"/>
      <c r="I376" s="161"/>
      <c r="K376" s="161"/>
      <c r="Q376" s="143"/>
      <c r="R376" s="143"/>
      <c r="S376" s="143"/>
      <c r="T376" s="140"/>
      <c r="U376" s="140"/>
      <c r="V376" s="140"/>
      <c r="W376" s="140"/>
      <c r="X376" s="140"/>
      <c r="Y376" s="140"/>
      <c r="Z376" s="140"/>
    </row>
    <row r="377" spans="6:26" s="141" customFormat="1">
      <c r="F377" s="161"/>
      <c r="G377" s="161"/>
      <c r="I377" s="161"/>
      <c r="K377" s="161"/>
      <c r="Q377" s="143"/>
      <c r="R377" s="143"/>
      <c r="S377" s="143"/>
      <c r="T377" s="140"/>
      <c r="U377" s="140"/>
      <c r="V377" s="140"/>
      <c r="W377" s="140"/>
      <c r="X377" s="140"/>
      <c r="Y377" s="140"/>
      <c r="Z377" s="140"/>
    </row>
    <row r="378" spans="6:26" s="141" customFormat="1">
      <c r="F378" s="161"/>
      <c r="G378" s="161"/>
      <c r="I378" s="161"/>
      <c r="K378" s="161"/>
      <c r="Q378" s="143"/>
      <c r="R378" s="143"/>
      <c r="S378" s="143"/>
      <c r="T378" s="140"/>
      <c r="U378" s="140"/>
      <c r="V378" s="140"/>
      <c r="W378" s="140"/>
      <c r="X378" s="140"/>
      <c r="Y378" s="140"/>
      <c r="Z378" s="140"/>
    </row>
    <row r="379" spans="6:26" s="141" customFormat="1">
      <c r="F379" s="161"/>
      <c r="G379" s="161"/>
      <c r="I379" s="161"/>
      <c r="K379" s="161"/>
      <c r="Q379" s="143"/>
      <c r="R379" s="143"/>
      <c r="S379" s="143"/>
      <c r="T379" s="140"/>
      <c r="U379" s="140"/>
      <c r="V379" s="140"/>
      <c r="W379" s="140"/>
      <c r="X379" s="140"/>
      <c r="Y379" s="140"/>
      <c r="Z379" s="140"/>
    </row>
    <row r="380" spans="6:26" s="141" customFormat="1">
      <c r="F380" s="161"/>
      <c r="G380" s="161"/>
      <c r="I380" s="161"/>
      <c r="K380" s="161"/>
      <c r="Q380" s="143"/>
      <c r="R380" s="143"/>
      <c r="S380" s="143"/>
      <c r="T380" s="140"/>
      <c r="U380" s="140"/>
      <c r="V380" s="140"/>
      <c r="W380" s="140"/>
      <c r="X380" s="140"/>
      <c r="Y380" s="140"/>
      <c r="Z380" s="140"/>
    </row>
    <row r="381" spans="6:26" s="141" customFormat="1">
      <c r="F381" s="161"/>
      <c r="G381" s="161"/>
      <c r="I381" s="161"/>
      <c r="K381" s="161"/>
      <c r="Q381" s="143"/>
      <c r="R381" s="143"/>
      <c r="S381" s="143"/>
      <c r="T381" s="140"/>
      <c r="U381" s="140"/>
      <c r="V381" s="140"/>
      <c r="W381" s="140"/>
      <c r="X381" s="140"/>
      <c r="Y381" s="140"/>
      <c r="Z381" s="140"/>
    </row>
    <row r="382" spans="6:26" s="141" customFormat="1">
      <c r="F382" s="161"/>
      <c r="G382" s="161"/>
      <c r="I382" s="161"/>
      <c r="K382" s="161"/>
      <c r="Q382" s="143"/>
      <c r="R382" s="143"/>
      <c r="S382" s="143"/>
      <c r="T382" s="140"/>
      <c r="U382" s="140"/>
      <c r="V382" s="140"/>
      <c r="W382" s="140"/>
      <c r="X382" s="140"/>
      <c r="Y382" s="140"/>
      <c r="Z382" s="140"/>
    </row>
    <row r="383" spans="6:26" s="141" customFormat="1">
      <c r="F383" s="161"/>
      <c r="G383" s="161"/>
      <c r="I383" s="161"/>
      <c r="K383" s="161"/>
      <c r="Q383" s="143"/>
      <c r="R383" s="143"/>
      <c r="S383" s="143"/>
      <c r="T383" s="140"/>
      <c r="U383" s="140"/>
      <c r="V383" s="140"/>
      <c r="W383" s="140"/>
      <c r="X383" s="140"/>
      <c r="Y383" s="140"/>
      <c r="Z383" s="140"/>
    </row>
    <row r="384" spans="6:26" s="141" customFormat="1">
      <c r="F384" s="161"/>
      <c r="G384" s="161"/>
      <c r="I384" s="161"/>
      <c r="K384" s="161"/>
      <c r="Q384" s="143"/>
      <c r="R384" s="143"/>
      <c r="S384" s="143"/>
      <c r="T384" s="140"/>
      <c r="U384" s="140"/>
      <c r="V384" s="140"/>
      <c r="W384" s="140"/>
      <c r="X384" s="140"/>
      <c r="Y384" s="140"/>
      <c r="Z384" s="140"/>
    </row>
    <row r="385" spans="6:26" s="141" customFormat="1">
      <c r="F385" s="161"/>
      <c r="G385" s="161"/>
      <c r="I385" s="161"/>
      <c r="K385" s="161"/>
      <c r="Q385" s="143"/>
      <c r="R385" s="143"/>
      <c r="S385" s="143"/>
      <c r="T385" s="140"/>
      <c r="U385" s="140"/>
      <c r="V385" s="140"/>
      <c r="W385" s="140"/>
      <c r="X385" s="140"/>
      <c r="Y385" s="140"/>
      <c r="Z385" s="140"/>
    </row>
    <row r="386" spans="6:26" s="141" customFormat="1">
      <c r="F386" s="161"/>
      <c r="G386" s="161"/>
      <c r="I386" s="161"/>
      <c r="K386" s="161"/>
      <c r="Q386" s="143"/>
      <c r="R386" s="143"/>
      <c r="S386" s="143"/>
      <c r="T386" s="140"/>
      <c r="U386" s="140"/>
      <c r="V386" s="140"/>
      <c r="W386" s="140"/>
      <c r="X386" s="140"/>
      <c r="Y386" s="140"/>
      <c r="Z386" s="140"/>
    </row>
    <row r="387" spans="6:26" s="141" customFormat="1">
      <c r="F387" s="161"/>
      <c r="G387" s="161"/>
      <c r="I387" s="161"/>
      <c r="K387" s="161"/>
      <c r="Q387" s="143"/>
      <c r="R387" s="143"/>
      <c r="S387" s="143"/>
      <c r="T387" s="140"/>
      <c r="U387" s="140"/>
      <c r="V387" s="140"/>
      <c r="W387" s="140"/>
      <c r="X387" s="140"/>
      <c r="Y387" s="140"/>
      <c r="Z387" s="140"/>
    </row>
    <row r="388" spans="6:26" s="141" customFormat="1">
      <c r="F388" s="161"/>
      <c r="G388" s="161"/>
      <c r="I388" s="161"/>
      <c r="K388" s="161"/>
      <c r="Q388" s="143"/>
      <c r="R388" s="143"/>
      <c r="S388" s="143"/>
      <c r="T388" s="140"/>
      <c r="U388" s="140"/>
      <c r="V388" s="140"/>
      <c r="W388" s="140"/>
      <c r="X388" s="140"/>
      <c r="Y388" s="140"/>
      <c r="Z388" s="140"/>
    </row>
    <row r="389" spans="6:26" s="141" customFormat="1">
      <c r="F389" s="161"/>
      <c r="G389" s="161"/>
      <c r="I389" s="161"/>
      <c r="K389" s="161"/>
      <c r="Q389" s="143"/>
      <c r="R389" s="143"/>
      <c r="S389" s="143"/>
      <c r="T389" s="140"/>
      <c r="U389" s="140"/>
      <c r="V389" s="140"/>
      <c r="W389" s="140"/>
      <c r="X389" s="140"/>
      <c r="Y389" s="140"/>
      <c r="Z389" s="140"/>
    </row>
    <row r="390" spans="6:26" s="141" customFormat="1">
      <c r="F390" s="161"/>
      <c r="G390" s="161"/>
      <c r="I390" s="161"/>
      <c r="K390" s="161"/>
      <c r="Q390" s="143"/>
      <c r="R390" s="143"/>
      <c r="S390" s="143"/>
      <c r="T390" s="140"/>
      <c r="U390" s="140"/>
      <c r="V390" s="140"/>
      <c r="W390" s="140"/>
      <c r="X390" s="140"/>
      <c r="Y390" s="140"/>
      <c r="Z390" s="140"/>
    </row>
    <row r="391" spans="6:26" s="141" customFormat="1">
      <c r="F391" s="161"/>
      <c r="G391" s="161"/>
      <c r="I391" s="161"/>
      <c r="K391" s="161"/>
      <c r="Q391" s="143"/>
      <c r="R391" s="143"/>
      <c r="S391" s="143"/>
      <c r="T391" s="140"/>
      <c r="U391" s="140"/>
      <c r="V391" s="140"/>
      <c r="W391" s="140"/>
      <c r="X391" s="140"/>
      <c r="Y391" s="140"/>
      <c r="Z391" s="140"/>
    </row>
    <row r="392" spans="6:26" s="141" customFormat="1">
      <c r="F392" s="161"/>
      <c r="G392" s="161"/>
      <c r="I392" s="161"/>
      <c r="K392" s="161"/>
      <c r="Q392" s="143"/>
      <c r="R392" s="143"/>
      <c r="S392" s="143"/>
      <c r="T392" s="140"/>
      <c r="U392" s="140"/>
      <c r="V392" s="140"/>
      <c r="W392" s="140"/>
      <c r="X392" s="140"/>
      <c r="Y392" s="140"/>
      <c r="Z392" s="140"/>
    </row>
    <row r="393" spans="6:26" s="141" customFormat="1">
      <c r="F393" s="161"/>
      <c r="G393" s="161"/>
      <c r="I393" s="161"/>
      <c r="K393" s="161"/>
      <c r="Q393" s="143"/>
      <c r="R393" s="143"/>
      <c r="S393" s="143"/>
      <c r="T393" s="140"/>
      <c r="U393" s="140"/>
      <c r="V393" s="140"/>
      <c r="W393" s="140"/>
      <c r="X393" s="140"/>
      <c r="Y393" s="140"/>
      <c r="Z393" s="140"/>
    </row>
    <row r="394" spans="6:26" s="141" customFormat="1">
      <c r="F394" s="161"/>
      <c r="G394" s="161"/>
      <c r="I394" s="161"/>
      <c r="K394" s="161"/>
      <c r="Q394" s="143"/>
      <c r="R394" s="143"/>
      <c r="S394" s="143"/>
      <c r="T394" s="140"/>
      <c r="U394" s="140"/>
      <c r="V394" s="140"/>
      <c r="W394" s="140"/>
      <c r="X394" s="140"/>
      <c r="Y394" s="140"/>
      <c r="Z394" s="140"/>
    </row>
    <row r="395" spans="6:26" s="141" customFormat="1">
      <c r="F395" s="161"/>
      <c r="G395" s="161"/>
      <c r="I395" s="161"/>
      <c r="K395" s="161"/>
      <c r="Q395" s="143"/>
      <c r="R395" s="143"/>
      <c r="S395" s="143"/>
      <c r="T395" s="140"/>
      <c r="U395" s="140"/>
      <c r="V395" s="140"/>
      <c r="W395" s="140"/>
      <c r="X395" s="140"/>
      <c r="Y395" s="140"/>
      <c r="Z395" s="140"/>
    </row>
    <row r="396" spans="6:26" s="141" customFormat="1">
      <c r="F396" s="161"/>
      <c r="G396" s="161"/>
      <c r="I396" s="161"/>
      <c r="K396" s="161"/>
      <c r="Q396" s="143"/>
      <c r="R396" s="143"/>
      <c r="S396" s="143"/>
      <c r="T396" s="140"/>
      <c r="U396" s="140"/>
      <c r="V396" s="140"/>
      <c r="W396" s="140"/>
      <c r="X396" s="140"/>
      <c r="Y396" s="140"/>
      <c r="Z396" s="140"/>
    </row>
    <row r="397" spans="6:26" s="141" customFormat="1">
      <c r="F397" s="161"/>
      <c r="G397" s="161"/>
      <c r="I397" s="161"/>
      <c r="K397" s="161"/>
      <c r="Q397" s="143"/>
      <c r="R397" s="143"/>
      <c r="S397" s="143"/>
      <c r="T397" s="140"/>
      <c r="U397" s="140"/>
      <c r="V397" s="140"/>
      <c r="W397" s="140"/>
      <c r="X397" s="140"/>
      <c r="Y397" s="140"/>
      <c r="Z397" s="140"/>
    </row>
    <row r="398" spans="6:26" s="141" customFormat="1">
      <c r="F398" s="161"/>
      <c r="G398" s="161"/>
      <c r="I398" s="161"/>
      <c r="K398" s="161"/>
      <c r="Q398" s="143"/>
      <c r="R398" s="143"/>
      <c r="S398" s="143"/>
      <c r="T398" s="140"/>
      <c r="U398" s="140"/>
      <c r="V398" s="140"/>
      <c r="W398" s="140"/>
      <c r="X398" s="140"/>
      <c r="Y398" s="140"/>
      <c r="Z398" s="140"/>
    </row>
    <row r="399" spans="6:26" s="141" customFormat="1">
      <c r="F399" s="161"/>
      <c r="G399" s="161"/>
      <c r="I399" s="161"/>
      <c r="K399" s="161"/>
      <c r="Q399" s="143"/>
      <c r="R399" s="143"/>
      <c r="S399" s="143"/>
      <c r="T399" s="140"/>
      <c r="U399" s="140"/>
      <c r="V399" s="140"/>
      <c r="W399" s="140"/>
      <c r="X399" s="140"/>
      <c r="Y399" s="140"/>
      <c r="Z399" s="140"/>
    </row>
    <row r="400" spans="6:26" s="141" customFormat="1">
      <c r="F400" s="161"/>
      <c r="G400" s="161"/>
      <c r="I400" s="161"/>
      <c r="K400" s="161"/>
      <c r="Q400" s="143"/>
      <c r="R400" s="143"/>
      <c r="S400" s="143"/>
      <c r="T400" s="140"/>
      <c r="U400" s="140"/>
      <c r="V400" s="140"/>
      <c r="W400" s="140"/>
      <c r="X400" s="140"/>
      <c r="Y400" s="140"/>
      <c r="Z400" s="140"/>
    </row>
    <row r="401" spans="6:26" s="141" customFormat="1">
      <c r="F401" s="161"/>
      <c r="G401" s="161"/>
      <c r="I401" s="161"/>
      <c r="K401" s="161"/>
      <c r="Q401" s="143"/>
      <c r="R401" s="143"/>
      <c r="S401" s="143"/>
      <c r="T401" s="140"/>
      <c r="U401" s="140"/>
      <c r="V401" s="140"/>
      <c r="W401" s="140"/>
      <c r="X401" s="140"/>
      <c r="Y401" s="140"/>
      <c r="Z401" s="140"/>
    </row>
    <row r="402" spans="6:26" s="141" customFormat="1">
      <c r="F402" s="161"/>
      <c r="G402" s="161"/>
      <c r="I402" s="161"/>
      <c r="K402" s="161"/>
      <c r="Q402" s="143"/>
      <c r="R402" s="143"/>
      <c r="S402" s="143"/>
      <c r="T402" s="140"/>
      <c r="U402" s="140"/>
      <c r="V402" s="140"/>
      <c r="W402" s="140"/>
      <c r="X402" s="140"/>
      <c r="Y402" s="140"/>
      <c r="Z402" s="140"/>
    </row>
    <row r="403" spans="6:26" s="141" customFormat="1">
      <c r="F403" s="161"/>
      <c r="G403" s="161"/>
      <c r="I403" s="161"/>
      <c r="K403" s="161"/>
      <c r="Q403" s="143"/>
      <c r="R403" s="143"/>
      <c r="S403" s="143"/>
      <c r="T403" s="140"/>
      <c r="U403" s="140"/>
      <c r="V403" s="140"/>
      <c r="W403" s="140"/>
      <c r="X403" s="140"/>
      <c r="Y403" s="140"/>
      <c r="Z403" s="140"/>
    </row>
    <row r="404" spans="6:26" s="141" customFormat="1">
      <c r="F404" s="161"/>
      <c r="G404" s="161"/>
      <c r="I404" s="161"/>
      <c r="K404" s="161"/>
      <c r="Q404" s="143"/>
      <c r="R404" s="143"/>
      <c r="S404" s="143"/>
      <c r="T404" s="140"/>
      <c r="U404" s="140"/>
      <c r="V404" s="140"/>
      <c r="W404" s="140"/>
      <c r="X404" s="140"/>
      <c r="Y404" s="140"/>
      <c r="Z404" s="140"/>
    </row>
    <row r="405" spans="6:26" s="141" customFormat="1">
      <c r="F405" s="161"/>
      <c r="G405" s="161"/>
      <c r="I405" s="161"/>
      <c r="K405" s="161"/>
      <c r="Q405" s="143"/>
      <c r="R405" s="143"/>
      <c r="S405" s="143"/>
      <c r="T405" s="140"/>
      <c r="U405" s="140"/>
      <c r="V405" s="140"/>
      <c r="W405" s="140"/>
      <c r="X405" s="140"/>
      <c r="Y405" s="140"/>
      <c r="Z405" s="140"/>
    </row>
    <row r="406" spans="6:26" s="141" customFormat="1">
      <c r="F406" s="161"/>
      <c r="G406" s="161"/>
      <c r="I406" s="161"/>
      <c r="K406" s="161"/>
      <c r="Q406" s="143"/>
      <c r="R406" s="143"/>
      <c r="S406" s="143"/>
      <c r="T406" s="140"/>
      <c r="U406" s="140"/>
      <c r="V406" s="140"/>
      <c r="W406" s="140"/>
      <c r="X406" s="140"/>
      <c r="Y406" s="140"/>
      <c r="Z406" s="140"/>
    </row>
    <row r="407" spans="6:26" s="141" customFormat="1">
      <c r="F407" s="161"/>
      <c r="G407" s="161"/>
      <c r="I407" s="161"/>
      <c r="K407" s="161"/>
      <c r="Q407" s="143"/>
      <c r="R407" s="143"/>
      <c r="S407" s="143"/>
      <c r="T407" s="140"/>
      <c r="U407" s="140"/>
      <c r="V407" s="140"/>
      <c r="W407" s="140"/>
      <c r="X407" s="140"/>
      <c r="Y407" s="140"/>
      <c r="Z407" s="140"/>
    </row>
    <row r="408" spans="6:26" s="141" customFormat="1">
      <c r="F408" s="161"/>
      <c r="G408" s="161"/>
      <c r="I408" s="161"/>
      <c r="K408" s="161"/>
      <c r="Q408" s="143"/>
      <c r="R408" s="143"/>
      <c r="S408" s="143"/>
      <c r="T408" s="140"/>
      <c r="U408" s="140"/>
      <c r="V408" s="140"/>
      <c r="W408" s="140"/>
      <c r="X408" s="140"/>
      <c r="Y408" s="140"/>
      <c r="Z408" s="140"/>
    </row>
    <row r="409" spans="6:26" s="141" customFormat="1">
      <c r="F409" s="161"/>
      <c r="G409" s="161"/>
      <c r="I409" s="161"/>
      <c r="K409" s="161"/>
      <c r="Q409" s="143"/>
      <c r="R409" s="143"/>
      <c r="S409" s="143"/>
      <c r="T409" s="140"/>
      <c r="U409" s="140"/>
      <c r="V409" s="140"/>
      <c r="W409" s="140"/>
      <c r="X409" s="140"/>
      <c r="Y409" s="140"/>
      <c r="Z409" s="140"/>
    </row>
    <row r="410" spans="6:26" s="141" customFormat="1">
      <c r="F410" s="161"/>
      <c r="G410" s="161"/>
      <c r="I410" s="161"/>
      <c r="K410" s="161"/>
      <c r="Q410" s="143"/>
      <c r="R410" s="143"/>
      <c r="S410" s="143"/>
      <c r="T410" s="140"/>
      <c r="U410" s="140"/>
      <c r="V410" s="140"/>
      <c r="W410" s="140"/>
      <c r="X410" s="140"/>
      <c r="Y410" s="140"/>
      <c r="Z410" s="140"/>
    </row>
    <row r="411" spans="6:26" s="141" customFormat="1">
      <c r="F411" s="161"/>
      <c r="G411" s="161"/>
      <c r="I411" s="161"/>
      <c r="K411" s="161"/>
      <c r="Q411" s="143"/>
      <c r="R411" s="143"/>
      <c r="S411" s="143"/>
      <c r="T411" s="140"/>
      <c r="U411" s="140"/>
      <c r="V411" s="140"/>
      <c r="W411" s="140"/>
      <c r="X411" s="140"/>
      <c r="Y411" s="140"/>
      <c r="Z411" s="140"/>
    </row>
    <row r="412" spans="6:26" s="141" customFormat="1">
      <c r="F412" s="161"/>
      <c r="G412" s="161"/>
      <c r="I412" s="161"/>
      <c r="K412" s="161"/>
      <c r="Q412" s="143"/>
      <c r="R412" s="143"/>
      <c r="S412" s="143"/>
      <c r="T412" s="140"/>
      <c r="U412" s="140"/>
      <c r="V412" s="140"/>
      <c r="W412" s="140"/>
      <c r="X412" s="140"/>
      <c r="Y412" s="140"/>
      <c r="Z412" s="140"/>
    </row>
    <row r="413" spans="6:26" s="141" customFormat="1">
      <c r="F413" s="161"/>
      <c r="G413" s="161"/>
      <c r="I413" s="161"/>
      <c r="K413" s="161"/>
      <c r="Q413" s="143"/>
      <c r="R413" s="143"/>
      <c r="S413" s="143"/>
      <c r="T413" s="140"/>
      <c r="U413" s="140"/>
      <c r="V413" s="140"/>
      <c r="W413" s="140"/>
      <c r="X413" s="140"/>
      <c r="Y413" s="140"/>
      <c r="Z413" s="140"/>
    </row>
    <row r="414" spans="6:26" s="141" customFormat="1">
      <c r="F414" s="161"/>
      <c r="G414" s="161"/>
      <c r="I414" s="161"/>
      <c r="K414" s="161"/>
      <c r="Q414" s="143"/>
      <c r="R414" s="143"/>
      <c r="S414" s="143"/>
      <c r="T414" s="140"/>
      <c r="U414" s="140"/>
      <c r="V414" s="140"/>
      <c r="W414" s="140"/>
      <c r="X414" s="140"/>
      <c r="Y414" s="140"/>
      <c r="Z414" s="140"/>
    </row>
    <row r="415" spans="6:26" s="141" customFormat="1">
      <c r="F415" s="161"/>
      <c r="G415" s="161"/>
      <c r="I415" s="161"/>
      <c r="K415" s="161"/>
      <c r="Q415" s="143"/>
      <c r="R415" s="143"/>
      <c r="S415" s="143"/>
      <c r="T415" s="140"/>
      <c r="U415" s="140"/>
      <c r="V415" s="140"/>
      <c r="W415" s="140"/>
      <c r="X415" s="140"/>
      <c r="Y415" s="140"/>
      <c r="Z415" s="140"/>
    </row>
    <row r="416" spans="6:26" s="141" customFormat="1">
      <c r="F416" s="161"/>
      <c r="G416" s="161"/>
      <c r="I416" s="161"/>
      <c r="K416" s="161"/>
      <c r="Q416" s="143"/>
      <c r="R416" s="143"/>
      <c r="S416" s="143"/>
      <c r="T416" s="140"/>
      <c r="U416" s="140"/>
      <c r="V416" s="140"/>
      <c r="W416" s="140"/>
      <c r="X416" s="140"/>
      <c r="Y416" s="140"/>
      <c r="Z416" s="140"/>
    </row>
    <row r="417" spans="6:26" s="141" customFormat="1">
      <c r="F417" s="161"/>
      <c r="G417" s="161"/>
      <c r="I417" s="161"/>
      <c r="K417" s="161"/>
      <c r="Q417" s="143"/>
      <c r="R417" s="143"/>
      <c r="S417" s="143"/>
      <c r="T417" s="140"/>
      <c r="U417" s="140"/>
      <c r="V417" s="140"/>
      <c r="W417" s="140"/>
      <c r="X417" s="140"/>
      <c r="Y417" s="140"/>
      <c r="Z417" s="140"/>
    </row>
    <row r="418" spans="6:26" s="141" customFormat="1">
      <c r="F418" s="161"/>
      <c r="G418" s="161"/>
      <c r="I418" s="161"/>
      <c r="K418" s="161"/>
      <c r="Q418" s="143"/>
      <c r="R418" s="143"/>
      <c r="S418" s="143"/>
      <c r="T418" s="140"/>
      <c r="U418" s="140"/>
      <c r="V418" s="140"/>
      <c r="W418" s="140"/>
      <c r="X418" s="140"/>
      <c r="Y418" s="140"/>
      <c r="Z418" s="140"/>
    </row>
    <row r="419" spans="6:26" s="141" customFormat="1">
      <c r="F419" s="161"/>
      <c r="G419" s="161"/>
      <c r="I419" s="161"/>
      <c r="K419" s="161"/>
      <c r="Q419" s="143"/>
      <c r="R419" s="143"/>
      <c r="S419" s="143"/>
      <c r="T419" s="140"/>
      <c r="U419" s="140"/>
      <c r="V419" s="140"/>
      <c r="W419" s="140"/>
      <c r="X419" s="140"/>
      <c r="Y419" s="140"/>
      <c r="Z419" s="140"/>
    </row>
    <row r="420" spans="6:26" s="141" customFormat="1">
      <c r="F420" s="161"/>
      <c r="G420" s="161"/>
      <c r="I420" s="161"/>
      <c r="K420" s="161"/>
      <c r="Q420" s="143"/>
      <c r="R420" s="143"/>
      <c r="S420" s="143"/>
      <c r="T420" s="140"/>
      <c r="U420" s="140"/>
      <c r="V420" s="140"/>
      <c r="W420" s="140"/>
      <c r="X420" s="140"/>
      <c r="Y420" s="140"/>
      <c r="Z420" s="140"/>
    </row>
    <row r="421" spans="6:26" s="141" customFormat="1">
      <c r="F421" s="161"/>
      <c r="G421" s="161"/>
      <c r="I421" s="161"/>
      <c r="K421" s="161"/>
      <c r="Q421" s="143"/>
      <c r="R421" s="143"/>
      <c r="S421" s="143"/>
      <c r="T421" s="140"/>
      <c r="U421" s="140"/>
      <c r="V421" s="140"/>
      <c r="W421" s="140"/>
      <c r="X421" s="140"/>
      <c r="Y421" s="140"/>
      <c r="Z421" s="140"/>
    </row>
    <row r="422" spans="6:26" s="141" customFormat="1">
      <c r="F422" s="161"/>
      <c r="G422" s="161"/>
      <c r="I422" s="161"/>
      <c r="K422" s="161"/>
      <c r="Q422" s="143"/>
      <c r="R422" s="143"/>
      <c r="S422" s="143"/>
      <c r="T422" s="140"/>
      <c r="U422" s="140"/>
      <c r="V422" s="140"/>
      <c r="W422" s="140"/>
      <c r="X422" s="140"/>
      <c r="Y422" s="140"/>
      <c r="Z422" s="140"/>
    </row>
    <row r="423" spans="6:26" s="141" customFormat="1">
      <c r="F423" s="161"/>
      <c r="G423" s="161"/>
      <c r="I423" s="161"/>
      <c r="K423" s="161"/>
      <c r="Q423" s="143"/>
      <c r="R423" s="143"/>
      <c r="S423" s="143"/>
      <c r="T423" s="140"/>
      <c r="U423" s="140"/>
      <c r="V423" s="140"/>
      <c r="W423" s="140"/>
      <c r="X423" s="140"/>
      <c r="Y423" s="140"/>
      <c r="Z423" s="140"/>
    </row>
    <row r="424" spans="6:26" s="141" customFormat="1">
      <c r="F424" s="161"/>
      <c r="G424" s="161"/>
      <c r="I424" s="161"/>
      <c r="K424" s="161"/>
      <c r="Q424" s="143"/>
      <c r="R424" s="143"/>
      <c r="S424" s="143"/>
      <c r="T424" s="140"/>
      <c r="U424" s="140"/>
      <c r="V424" s="140"/>
      <c r="W424" s="140"/>
      <c r="X424" s="140"/>
      <c r="Y424" s="140"/>
      <c r="Z424" s="140"/>
    </row>
    <row r="425" spans="6:26" s="141" customFormat="1">
      <c r="F425" s="161"/>
      <c r="G425" s="161"/>
      <c r="I425" s="161"/>
      <c r="K425" s="161"/>
      <c r="Q425" s="143"/>
      <c r="R425" s="143"/>
      <c r="S425" s="143"/>
      <c r="T425" s="140"/>
      <c r="U425" s="140"/>
      <c r="V425" s="140"/>
      <c r="W425" s="140"/>
      <c r="X425" s="140"/>
      <c r="Y425" s="140"/>
      <c r="Z425" s="140"/>
    </row>
    <row r="426" spans="6:26" s="141" customFormat="1">
      <c r="F426" s="161"/>
      <c r="G426" s="161"/>
      <c r="I426" s="161"/>
      <c r="K426" s="161"/>
      <c r="Q426" s="143"/>
      <c r="R426" s="143"/>
      <c r="S426" s="143"/>
      <c r="T426" s="140"/>
      <c r="U426" s="140"/>
      <c r="V426" s="140"/>
      <c r="W426" s="140"/>
      <c r="X426" s="140"/>
      <c r="Y426" s="140"/>
      <c r="Z426" s="140"/>
    </row>
    <row r="427" spans="6:26" s="141" customFormat="1">
      <c r="F427" s="161"/>
      <c r="G427" s="161"/>
      <c r="I427" s="161"/>
      <c r="K427" s="161"/>
      <c r="Q427" s="143"/>
      <c r="R427" s="143"/>
      <c r="S427" s="143"/>
      <c r="T427" s="140"/>
      <c r="U427" s="140"/>
      <c r="V427" s="140"/>
      <c r="W427" s="140"/>
      <c r="X427" s="140"/>
      <c r="Y427" s="140"/>
      <c r="Z427" s="140"/>
    </row>
    <row r="428" spans="6:26" s="141" customFormat="1">
      <c r="F428" s="161"/>
      <c r="G428" s="161"/>
      <c r="I428" s="161"/>
      <c r="K428" s="161"/>
      <c r="Q428" s="143"/>
      <c r="R428" s="143"/>
      <c r="S428" s="143"/>
      <c r="T428" s="140"/>
      <c r="U428" s="140"/>
      <c r="V428" s="140"/>
      <c r="W428" s="140"/>
      <c r="X428" s="140"/>
      <c r="Y428" s="140"/>
      <c r="Z428" s="140"/>
    </row>
    <row r="429" spans="6:26" s="141" customFormat="1">
      <c r="F429" s="161"/>
      <c r="G429" s="161"/>
      <c r="I429" s="161"/>
      <c r="K429" s="161"/>
      <c r="Q429" s="143"/>
      <c r="R429" s="143"/>
      <c r="S429" s="143"/>
      <c r="T429" s="140"/>
      <c r="U429" s="140"/>
      <c r="V429" s="140"/>
      <c r="W429" s="140"/>
      <c r="X429" s="140"/>
      <c r="Y429" s="140"/>
      <c r="Z429" s="140"/>
    </row>
    <row r="430" spans="6:26" s="141" customFormat="1">
      <c r="F430" s="161"/>
      <c r="G430" s="161"/>
      <c r="I430" s="161"/>
      <c r="K430" s="161"/>
      <c r="Q430" s="143"/>
      <c r="R430" s="143"/>
      <c r="S430" s="143"/>
      <c r="T430" s="140"/>
      <c r="U430" s="140"/>
      <c r="V430" s="140"/>
      <c r="W430" s="140"/>
      <c r="X430" s="140"/>
      <c r="Y430" s="140"/>
      <c r="Z430" s="140"/>
    </row>
    <row r="431" spans="6:26" s="141" customFormat="1">
      <c r="F431" s="161"/>
      <c r="G431" s="161"/>
      <c r="I431" s="161"/>
      <c r="K431" s="161"/>
      <c r="Q431" s="143"/>
      <c r="R431" s="143"/>
      <c r="S431" s="143"/>
      <c r="T431" s="140"/>
      <c r="U431" s="140"/>
      <c r="V431" s="140"/>
      <c r="W431" s="140"/>
      <c r="X431" s="140"/>
      <c r="Y431" s="140"/>
      <c r="Z431" s="140"/>
    </row>
    <row r="432" spans="6:26" s="141" customFormat="1">
      <c r="F432" s="161"/>
      <c r="G432" s="161"/>
      <c r="I432" s="161"/>
      <c r="K432" s="161"/>
      <c r="Q432" s="143"/>
      <c r="R432" s="143"/>
      <c r="S432" s="143"/>
      <c r="T432" s="140"/>
      <c r="U432" s="140"/>
      <c r="V432" s="140"/>
      <c r="W432" s="140"/>
      <c r="X432" s="140"/>
      <c r="Y432" s="140"/>
      <c r="Z432" s="140"/>
    </row>
    <row r="433" spans="6:26" s="141" customFormat="1">
      <c r="F433" s="161"/>
      <c r="G433" s="161"/>
      <c r="I433" s="161"/>
      <c r="K433" s="161"/>
      <c r="Q433" s="143"/>
      <c r="R433" s="143"/>
      <c r="S433" s="143"/>
      <c r="T433" s="140"/>
      <c r="U433" s="140"/>
      <c r="V433" s="140"/>
      <c r="W433" s="140"/>
      <c r="X433" s="140"/>
      <c r="Y433" s="140"/>
      <c r="Z433" s="140"/>
    </row>
    <row r="434" spans="6:26" s="141" customFormat="1">
      <c r="F434" s="161"/>
      <c r="G434" s="161"/>
      <c r="I434" s="161"/>
      <c r="K434" s="161"/>
      <c r="Q434" s="143"/>
      <c r="R434" s="143"/>
      <c r="S434" s="143"/>
      <c r="T434" s="140"/>
      <c r="U434" s="140"/>
      <c r="V434" s="140"/>
      <c r="W434" s="140"/>
      <c r="X434" s="140"/>
      <c r="Y434" s="140"/>
      <c r="Z434" s="140"/>
    </row>
    <row r="435" spans="6:26" s="141" customFormat="1">
      <c r="F435" s="161"/>
      <c r="G435" s="161"/>
      <c r="I435" s="161"/>
      <c r="K435" s="161"/>
      <c r="Q435" s="143"/>
      <c r="R435" s="143"/>
      <c r="S435" s="143"/>
      <c r="T435" s="140"/>
      <c r="U435" s="140"/>
      <c r="V435" s="140"/>
      <c r="W435" s="140"/>
      <c r="X435" s="140"/>
      <c r="Y435" s="140"/>
      <c r="Z435" s="140"/>
    </row>
    <row r="436" spans="6:26" s="141" customFormat="1">
      <c r="F436" s="161"/>
      <c r="G436" s="161"/>
      <c r="I436" s="161"/>
      <c r="K436" s="161"/>
      <c r="Q436" s="143"/>
      <c r="R436" s="143"/>
      <c r="S436" s="143"/>
      <c r="T436" s="140"/>
      <c r="U436" s="140"/>
      <c r="V436" s="140"/>
      <c r="W436" s="140"/>
      <c r="X436" s="140"/>
      <c r="Y436" s="140"/>
      <c r="Z436" s="140"/>
    </row>
    <row r="437" spans="6:26" s="141" customFormat="1">
      <c r="F437" s="161"/>
      <c r="G437" s="161"/>
      <c r="I437" s="161"/>
      <c r="K437" s="161"/>
      <c r="Q437" s="143"/>
      <c r="R437" s="143"/>
      <c r="S437" s="143"/>
      <c r="T437" s="140"/>
      <c r="U437" s="140"/>
      <c r="V437" s="140"/>
      <c r="W437" s="140"/>
      <c r="X437" s="140"/>
      <c r="Y437" s="140"/>
      <c r="Z437" s="140"/>
    </row>
    <row r="438" spans="6:26" s="141" customFormat="1">
      <c r="F438" s="161"/>
      <c r="G438" s="161"/>
      <c r="I438" s="161"/>
      <c r="K438" s="161"/>
      <c r="Q438" s="143"/>
      <c r="R438" s="143"/>
      <c r="S438" s="143"/>
      <c r="T438" s="140"/>
      <c r="U438" s="140"/>
      <c r="V438" s="140"/>
      <c r="W438" s="140"/>
      <c r="X438" s="140"/>
      <c r="Y438" s="140"/>
      <c r="Z438" s="140"/>
    </row>
    <row r="439" spans="6:26" s="141" customFormat="1">
      <c r="F439" s="161"/>
      <c r="G439" s="161"/>
      <c r="I439" s="161"/>
      <c r="K439" s="161"/>
      <c r="Q439" s="143"/>
      <c r="R439" s="143"/>
      <c r="S439" s="143"/>
      <c r="T439" s="140"/>
      <c r="U439" s="140"/>
      <c r="V439" s="140"/>
      <c r="W439" s="140"/>
      <c r="X439" s="140"/>
      <c r="Y439" s="140"/>
      <c r="Z439" s="140"/>
    </row>
    <row r="440" spans="6:26" s="141" customFormat="1">
      <c r="F440" s="161"/>
      <c r="G440" s="161"/>
      <c r="I440" s="161"/>
      <c r="K440" s="161"/>
      <c r="Q440" s="143"/>
      <c r="R440" s="143"/>
      <c r="S440" s="143"/>
      <c r="T440" s="140"/>
      <c r="U440" s="140"/>
      <c r="V440" s="140"/>
      <c r="W440" s="140"/>
      <c r="X440" s="140"/>
      <c r="Y440" s="140"/>
      <c r="Z440" s="140"/>
    </row>
    <row r="441" spans="6:26" s="141" customFormat="1">
      <c r="F441" s="161"/>
      <c r="G441" s="161"/>
      <c r="I441" s="161"/>
      <c r="K441" s="161"/>
      <c r="Q441" s="143"/>
      <c r="R441" s="143"/>
      <c r="S441" s="143"/>
      <c r="T441" s="140"/>
      <c r="U441" s="140"/>
      <c r="V441" s="140"/>
      <c r="W441" s="140"/>
      <c r="X441" s="140"/>
      <c r="Y441" s="140"/>
      <c r="Z441" s="140"/>
    </row>
    <row r="442" spans="6:26" s="141" customFormat="1">
      <c r="F442" s="161"/>
      <c r="G442" s="161"/>
      <c r="I442" s="161"/>
      <c r="K442" s="161"/>
      <c r="Q442" s="143"/>
      <c r="R442" s="143"/>
      <c r="S442" s="143"/>
      <c r="T442" s="140"/>
      <c r="U442" s="140"/>
      <c r="V442" s="140"/>
      <c r="W442" s="140"/>
      <c r="X442" s="140"/>
      <c r="Y442" s="140"/>
      <c r="Z442" s="140"/>
    </row>
    <row r="443" spans="6:26" s="141" customFormat="1">
      <c r="F443" s="161"/>
      <c r="G443" s="161"/>
      <c r="I443" s="161"/>
      <c r="K443" s="161"/>
      <c r="Q443" s="143"/>
      <c r="R443" s="143"/>
      <c r="S443" s="143"/>
      <c r="T443" s="140"/>
      <c r="U443" s="140"/>
      <c r="V443" s="140"/>
      <c r="W443" s="140"/>
      <c r="X443" s="140"/>
      <c r="Y443" s="140"/>
      <c r="Z443" s="140"/>
    </row>
    <row r="444" spans="6:26" s="141" customFormat="1">
      <c r="F444" s="161"/>
      <c r="G444" s="161"/>
      <c r="I444" s="161"/>
      <c r="K444" s="161"/>
      <c r="Q444" s="143"/>
      <c r="R444" s="143"/>
      <c r="S444" s="143"/>
      <c r="T444" s="140"/>
      <c r="U444" s="140"/>
      <c r="V444" s="140"/>
      <c r="W444" s="140"/>
      <c r="X444" s="140"/>
      <c r="Y444" s="140"/>
      <c r="Z444" s="140"/>
    </row>
    <row r="445" spans="6:26" s="141" customFormat="1">
      <c r="F445" s="161"/>
      <c r="G445" s="161"/>
      <c r="I445" s="161"/>
      <c r="K445" s="161"/>
      <c r="Q445" s="143"/>
      <c r="R445" s="143"/>
      <c r="S445" s="143"/>
      <c r="T445" s="140"/>
      <c r="U445" s="140"/>
      <c r="V445" s="140"/>
      <c r="W445" s="140"/>
      <c r="X445" s="140"/>
      <c r="Y445" s="140"/>
      <c r="Z445" s="140"/>
    </row>
    <row r="446" spans="6:26" s="141" customFormat="1">
      <c r="F446" s="161"/>
      <c r="G446" s="161"/>
      <c r="I446" s="161"/>
      <c r="K446" s="161"/>
      <c r="Q446" s="143"/>
      <c r="R446" s="143"/>
      <c r="S446" s="143"/>
      <c r="T446" s="140"/>
      <c r="U446" s="140"/>
      <c r="V446" s="140"/>
      <c r="W446" s="140"/>
      <c r="X446" s="140"/>
      <c r="Y446" s="140"/>
      <c r="Z446" s="140"/>
    </row>
    <row r="447" spans="6:26" s="141" customFormat="1">
      <c r="F447" s="161"/>
      <c r="G447" s="161"/>
      <c r="I447" s="161"/>
      <c r="K447" s="161"/>
      <c r="Q447" s="143"/>
      <c r="R447" s="143"/>
      <c r="S447" s="143"/>
      <c r="T447" s="140"/>
      <c r="U447" s="140"/>
      <c r="V447" s="140"/>
      <c r="W447" s="140"/>
      <c r="X447" s="140"/>
      <c r="Y447" s="140"/>
      <c r="Z447" s="140"/>
    </row>
    <row r="448" spans="6:26" s="141" customFormat="1">
      <c r="F448" s="161"/>
      <c r="G448" s="161"/>
      <c r="I448" s="161"/>
      <c r="K448" s="161"/>
      <c r="Q448" s="143"/>
      <c r="R448" s="143"/>
      <c r="S448" s="143"/>
      <c r="T448" s="140"/>
      <c r="U448" s="140"/>
      <c r="V448" s="140"/>
      <c r="W448" s="140"/>
      <c r="X448" s="140"/>
      <c r="Y448" s="140"/>
      <c r="Z448" s="140"/>
    </row>
    <row r="449" spans="6:26" s="141" customFormat="1">
      <c r="F449" s="161"/>
      <c r="G449" s="161"/>
      <c r="I449" s="161"/>
      <c r="K449" s="161"/>
      <c r="Q449" s="143"/>
      <c r="R449" s="143"/>
      <c r="S449" s="143"/>
      <c r="T449" s="140"/>
      <c r="U449" s="140"/>
      <c r="V449" s="140"/>
      <c r="W449" s="140"/>
      <c r="X449" s="140"/>
      <c r="Y449" s="140"/>
      <c r="Z449" s="140"/>
    </row>
    <row r="450" spans="6:26" s="141" customFormat="1">
      <c r="F450" s="161"/>
      <c r="G450" s="161"/>
      <c r="I450" s="161"/>
      <c r="K450" s="161"/>
      <c r="Q450" s="143"/>
      <c r="R450" s="143"/>
      <c r="S450" s="143"/>
      <c r="T450" s="140"/>
      <c r="U450" s="140"/>
      <c r="V450" s="140"/>
      <c r="W450" s="140"/>
      <c r="X450" s="140"/>
      <c r="Y450" s="140"/>
      <c r="Z450" s="140"/>
    </row>
    <row r="451" spans="6:26" s="141" customFormat="1">
      <c r="F451" s="161"/>
      <c r="G451" s="161"/>
      <c r="I451" s="161"/>
      <c r="K451" s="161"/>
      <c r="Q451" s="143"/>
      <c r="R451" s="143"/>
      <c r="S451" s="143"/>
      <c r="T451" s="140"/>
      <c r="U451" s="140"/>
      <c r="V451" s="140"/>
      <c r="W451" s="140"/>
      <c r="X451" s="140"/>
      <c r="Y451" s="140"/>
      <c r="Z451" s="140"/>
    </row>
    <row r="452" spans="6:26" s="141" customFormat="1">
      <c r="F452" s="161"/>
      <c r="G452" s="161"/>
      <c r="I452" s="161"/>
      <c r="K452" s="161"/>
      <c r="Q452" s="143"/>
      <c r="R452" s="143"/>
      <c r="S452" s="143"/>
      <c r="T452" s="140"/>
      <c r="U452" s="140"/>
      <c r="V452" s="140"/>
      <c r="W452" s="140"/>
      <c r="X452" s="140"/>
      <c r="Y452" s="140"/>
      <c r="Z452" s="140"/>
    </row>
    <row r="453" spans="6:26" s="141" customFormat="1">
      <c r="F453" s="161"/>
      <c r="G453" s="161"/>
      <c r="I453" s="161"/>
      <c r="K453" s="161"/>
      <c r="Q453" s="143"/>
      <c r="R453" s="143"/>
      <c r="S453" s="143"/>
      <c r="T453" s="140"/>
      <c r="U453" s="140"/>
      <c r="V453" s="140"/>
      <c r="W453" s="140"/>
      <c r="X453" s="140"/>
      <c r="Y453" s="140"/>
      <c r="Z453" s="140"/>
    </row>
    <row r="454" spans="6:26" s="141" customFormat="1">
      <c r="F454" s="161"/>
      <c r="G454" s="161"/>
      <c r="I454" s="161"/>
      <c r="K454" s="161"/>
      <c r="Q454" s="143"/>
      <c r="R454" s="143"/>
      <c r="S454" s="143"/>
      <c r="T454" s="140"/>
      <c r="U454" s="140"/>
      <c r="V454" s="140"/>
      <c r="W454" s="140"/>
      <c r="X454" s="140"/>
      <c r="Y454" s="140"/>
      <c r="Z454" s="140"/>
    </row>
    <row r="455" spans="6:26" s="141" customFormat="1">
      <c r="F455" s="161"/>
      <c r="G455" s="161"/>
      <c r="I455" s="161"/>
      <c r="K455" s="161"/>
      <c r="Q455" s="143"/>
      <c r="R455" s="143"/>
      <c r="S455" s="143"/>
      <c r="T455" s="140"/>
      <c r="U455" s="140"/>
      <c r="V455" s="140"/>
      <c r="W455" s="140"/>
      <c r="X455" s="140"/>
      <c r="Y455" s="140"/>
      <c r="Z455" s="140"/>
    </row>
    <row r="456" spans="6:26" s="141" customFormat="1">
      <c r="F456" s="161"/>
      <c r="G456" s="161"/>
      <c r="I456" s="161"/>
      <c r="K456" s="161"/>
      <c r="Q456" s="143"/>
      <c r="R456" s="143"/>
      <c r="S456" s="143"/>
      <c r="T456" s="140"/>
      <c r="U456" s="140"/>
      <c r="V456" s="140"/>
      <c r="W456" s="140"/>
      <c r="X456" s="140"/>
      <c r="Y456" s="140"/>
      <c r="Z456" s="140"/>
    </row>
    <row r="457" spans="6:26" s="141" customFormat="1">
      <c r="F457" s="161"/>
      <c r="G457" s="161"/>
      <c r="I457" s="161"/>
      <c r="K457" s="161"/>
      <c r="Q457" s="143"/>
      <c r="R457" s="143"/>
      <c r="S457" s="143"/>
      <c r="T457" s="140"/>
      <c r="U457" s="140"/>
      <c r="V457" s="140"/>
      <c r="W457" s="140"/>
      <c r="X457" s="140"/>
      <c r="Y457" s="140"/>
      <c r="Z457" s="140"/>
    </row>
    <row r="458" spans="6:26" s="141" customFormat="1">
      <c r="F458" s="161"/>
      <c r="G458" s="161"/>
      <c r="I458" s="161"/>
      <c r="K458" s="161"/>
      <c r="Q458" s="143"/>
      <c r="R458" s="143"/>
      <c r="S458" s="143"/>
      <c r="T458" s="140"/>
      <c r="U458" s="140"/>
      <c r="V458" s="140"/>
      <c r="W458" s="140"/>
      <c r="X458" s="140"/>
      <c r="Y458" s="140"/>
      <c r="Z458" s="140"/>
    </row>
    <row r="459" spans="6:26" s="141" customFormat="1">
      <c r="F459" s="161"/>
      <c r="G459" s="161"/>
      <c r="I459" s="161"/>
      <c r="K459" s="161"/>
      <c r="Q459" s="143"/>
      <c r="R459" s="143"/>
      <c r="S459" s="143"/>
      <c r="T459" s="140"/>
      <c r="U459" s="140"/>
      <c r="V459" s="140"/>
      <c r="W459" s="140"/>
      <c r="X459" s="140"/>
      <c r="Y459" s="140"/>
      <c r="Z459" s="140"/>
    </row>
    <row r="460" spans="6:26" s="141" customFormat="1">
      <c r="F460" s="161"/>
      <c r="G460" s="161"/>
      <c r="I460" s="161"/>
      <c r="K460" s="161"/>
      <c r="Q460" s="143"/>
      <c r="R460" s="143"/>
      <c r="S460" s="143"/>
      <c r="T460" s="140"/>
      <c r="U460" s="140"/>
      <c r="V460" s="140"/>
      <c r="W460" s="140"/>
      <c r="X460" s="140"/>
      <c r="Y460" s="140"/>
      <c r="Z460" s="140"/>
    </row>
    <row r="461" spans="6:26" s="141" customFormat="1">
      <c r="F461" s="161"/>
      <c r="G461" s="161"/>
      <c r="I461" s="161"/>
      <c r="K461" s="161"/>
      <c r="Q461" s="143"/>
      <c r="R461" s="143"/>
      <c r="S461" s="143"/>
      <c r="T461" s="140"/>
      <c r="U461" s="140"/>
      <c r="V461" s="140"/>
      <c r="W461" s="140"/>
      <c r="X461" s="140"/>
      <c r="Y461" s="140"/>
      <c r="Z461" s="140"/>
    </row>
    <row r="462" spans="6:26" s="141" customFormat="1">
      <c r="F462" s="161"/>
      <c r="G462" s="161"/>
      <c r="I462" s="161"/>
      <c r="K462" s="161"/>
      <c r="Q462" s="143"/>
      <c r="R462" s="143"/>
      <c r="S462" s="143"/>
      <c r="T462" s="140"/>
      <c r="U462" s="140"/>
      <c r="V462" s="140"/>
      <c r="W462" s="140"/>
      <c r="X462" s="140"/>
      <c r="Y462" s="140"/>
      <c r="Z462" s="140"/>
    </row>
    <row r="463" spans="6:26" s="141" customFormat="1">
      <c r="F463" s="161"/>
      <c r="G463" s="161"/>
      <c r="I463" s="161"/>
      <c r="K463" s="161"/>
      <c r="Q463" s="143"/>
      <c r="R463" s="143"/>
      <c r="S463" s="143"/>
      <c r="T463" s="140"/>
      <c r="U463" s="140"/>
      <c r="V463" s="140"/>
      <c r="W463" s="140"/>
      <c r="X463" s="140"/>
      <c r="Y463" s="140"/>
      <c r="Z463" s="140"/>
    </row>
    <row r="464" spans="6:26" s="141" customFormat="1">
      <c r="F464" s="161"/>
      <c r="G464" s="161"/>
      <c r="I464" s="161"/>
      <c r="K464" s="161"/>
      <c r="Q464" s="143"/>
      <c r="R464" s="143"/>
      <c r="S464" s="143"/>
      <c r="T464" s="140"/>
      <c r="U464" s="140"/>
      <c r="V464" s="140"/>
      <c r="W464" s="140"/>
      <c r="X464" s="140"/>
      <c r="Y464" s="140"/>
      <c r="Z464" s="140"/>
    </row>
    <row r="465" spans="6:26" s="141" customFormat="1">
      <c r="F465" s="161"/>
      <c r="G465" s="161"/>
      <c r="I465" s="161"/>
      <c r="K465" s="161"/>
      <c r="Q465" s="143"/>
      <c r="R465" s="143"/>
      <c r="S465" s="143"/>
      <c r="T465" s="140"/>
      <c r="U465" s="140"/>
      <c r="V465" s="140"/>
      <c r="W465" s="140"/>
      <c r="X465" s="140"/>
      <c r="Y465" s="140"/>
      <c r="Z465" s="140"/>
    </row>
    <row r="466" spans="6:26" s="141" customFormat="1">
      <c r="F466" s="161"/>
      <c r="G466" s="161"/>
      <c r="I466" s="161"/>
      <c r="K466" s="161"/>
      <c r="Q466" s="143"/>
      <c r="R466" s="143"/>
      <c r="S466" s="143"/>
      <c r="T466" s="140"/>
      <c r="U466" s="140"/>
      <c r="V466" s="140"/>
      <c r="W466" s="140"/>
      <c r="X466" s="140"/>
      <c r="Y466" s="140"/>
      <c r="Z466" s="140"/>
    </row>
    <row r="467" spans="6:26" s="141" customFormat="1">
      <c r="F467" s="161"/>
      <c r="G467" s="161"/>
      <c r="I467" s="161"/>
      <c r="K467" s="161"/>
      <c r="Q467" s="143"/>
      <c r="R467" s="143"/>
      <c r="S467" s="143"/>
      <c r="T467" s="140"/>
      <c r="U467" s="140"/>
      <c r="V467" s="140"/>
      <c r="W467" s="140"/>
      <c r="X467" s="140"/>
      <c r="Y467" s="140"/>
      <c r="Z467" s="140"/>
    </row>
    <row r="468" spans="6:26" s="141" customFormat="1">
      <c r="F468" s="161"/>
      <c r="G468" s="161"/>
      <c r="I468" s="161"/>
      <c r="K468" s="161"/>
      <c r="Q468" s="143"/>
      <c r="R468" s="143"/>
      <c r="S468" s="143"/>
      <c r="T468" s="140"/>
      <c r="U468" s="140"/>
      <c r="V468" s="140"/>
      <c r="W468" s="140"/>
      <c r="X468" s="140"/>
      <c r="Y468" s="140"/>
      <c r="Z468" s="140"/>
    </row>
    <row r="469" spans="6:26" s="141" customFormat="1">
      <c r="F469" s="161"/>
      <c r="G469" s="161"/>
      <c r="I469" s="161"/>
      <c r="K469" s="161"/>
      <c r="Q469" s="143"/>
      <c r="R469" s="143"/>
      <c r="S469" s="143"/>
      <c r="T469" s="140"/>
      <c r="U469" s="140"/>
      <c r="V469" s="140"/>
      <c r="W469" s="140"/>
      <c r="X469" s="140"/>
      <c r="Y469" s="140"/>
      <c r="Z469" s="140"/>
    </row>
    <row r="470" spans="6:26" s="141" customFormat="1">
      <c r="F470" s="161"/>
      <c r="G470" s="161"/>
      <c r="I470" s="161"/>
      <c r="K470" s="161"/>
      <c r="Q470" s="143"/>
      <c r="R470" s="143"/>
      <c r="S470" s="143"/>
      <c r="T470" s="140"/>
      <c r="U470" s="140"/>
      <c r="V470" s="140"/>
      <c r="W470" s="140"/>
      <c r="X470" s="140"/>
      <c r="Y470" s="140"/>
      <c r="Z470" s="140"/>
    </row>
    <row r="471" spans="6:26" s="141" customFormat="1">
      <c r="F471" s="161"/>
      <c r="G471" s="161"/>
      <c r="I471" s="161"/>
      <c r="K471" s="161"/>
      <c r="Q471" s="143"/>
      <c r="R471" s="143"/>
      <c r="S471" s="143"/>
      <c r="T471" s="140"/>
      <c r="U471" s="140"/>
      <c r="V471" s="140"/>
      <c r="W471" s="140"/>
      <c r="X471" s="140"/>
      <c r="Y471" s="140"/>
      <c r="Z471" s="140"/>
    </row>
    <row r="472" spans="6:26" s="141" customFormat="1">
      <c r="F472" s="161"/>
      <c r="G472" s="161"/>
      <c r="I472" s="161"/>
      <c r="K472" s="161"/>
      <c r="Q472" s="143"/>
      <c r="R472" s="143"/>
      <c r="S472" s="143"/>
      <c r="T472" s="140"/>
      <c r="U472" s="140"/>
      <c r="V472" s="140"/>
      <c r="W472" s="140"/>
      <c r="X472" s="140"/>
      <c r="Y472" s="140"/>
      <c r="Z472" s="140"/>
    </row>
    <row r="473" spans="6:26" s="141" customFormat="1">
      <c r="F473" s="161"/>
      <c r="G473" s="161"/>
      <c r="I473" s="161"/>
      <c r="K473" s="161"/>
      <c r="Q473" s="143"/>
      <c r="R473" s="143"/>
      <c r="S473" s="143"/>
      <c r="T473" s="140"/>
      <c r="U473" s="140"/>
      <c r="V473" s="140"/>
      <c r="W473" s="140"/>
      <c r="X473" s="140"/>
      <c r="Y473" s="140"/>
      <c r="Z473" s="140"/>
    </row>
    <row r="474" spans="6:26" s="141" customFormat="1">
      <c r="F474" s="161"/>
      <c r="G474" s="161"/>
      <c r="I474" s="161"/>
      <c r="K474" s="161"/>
      <c r="Q474" s="143"/>
      <c r="R474" s="143"/>
      <c r="S474" s="143"/>
      <c r="T474" s="140"/>
      <c r="U474" s="140"/>
      <c r="V474" s="140"/>
      <c r="W474" s="140"/>
      <c r="X474" s="140"/>
      <c r="Y474" s="140"/>
      <c r="Z474" s="140"/>
    </row>
    <row r="475" spans="6:26" s="141" customFormat="1">
      <c r="F475" s="161"/>
      <c r="G475" s="161"/>
      <c r="I475" s="161"/>
      <c r="K475" s="161"/>
      <c r="Q475" s="143"/>
      <c r="R475" s="143"/>
      <c r="S475" s="143"/>
      <c r="T475" s="140"/>
      <c r="U475" s="140"/>
      <c r="V475" s="140"/>
      <c r="W475" s="140"/>
      <c r="X475" s="140"/>
      <c r="Y475" s="140"/>
      <c r="Z475" s="140"/>
    </row>
    <row r="476" spans="6:26" s="141" customFormat="1">
      <c r="F476" s="161"/>
      <c r="G476" s="161"/>
      <c r="I476" s="161"/>
      <c r="K476" s="161"/>
      <c r="Q476" s="143"/>
      <c r="R476" s="143"/>
      <c r="S476" s="143"/>
      <c r="T476" s="140"/>
      <c r="U476" s="140"/>
      <c r="V476" s="140"/>
      <c r="W476" s="140"/>
      <c r="X476" s="140"/>
      <c r="Y476" s="140"/>
      <c r="Z476" s="140"/>
    </row>
    <row r="477" spans="6:26" s="141" customFormat="1">
      <c r="F477" s="161"/>
      <c r="G477" s="161"/>
      <c r="I477" s="161"/>
      <c r="K477" s="161"/>
      <c r="Q477" s="143"/>
      <c r="R477" s="143"/>
      <c r="S477" s="143"/>
      <c r="T477" s="140"/>
      <c r="U477" s="140"/>
      <c r="V477" s="140"/>
      <c r="W477" s="140"/>
      <c r="X477" s="140"/>
      <c r="Y477" s="140"/>
      <c r="Z477" s="140"/>
    </row>
    <row r="478" spans="6:26" s="141" customFormat="1">
      <c r="F478" s="161"/>
      <c r="G478" s="161"/>
      <c r="I478" s="161"/>
      <c r="K478" s="161"/>
      <c r="Q478" s="143"/>
      <c r="R478" s="143"/>
      <c r="S478" s="143"/>
      <c r="T478" s="140"/>
      <c r="U478" s="140"/>
      <c r="V478" s="140"/>
      <c r="W478" s="140"/>
      <c r="X478" s="140"/>
      <c r="Y478" s="140"/>
      <c r="Z478" s="140"/>
    </row>
    <row r="479" spans="6:26" s="141" customFormat="1">
      <c r="F479" s="161"/>
      <c r="G479" s="161"/>
      <c r="I479" s="161"/>
      <c r="K479" s="161"/>
      <c r="Q479" s="143"/>
      <c r="R479" s="143"/>
      <c r="S479" s="143"/>
      <c r="T479" s="140"/>
      <c r="U479" s="140"/>
      <c r="V479" s="140"/>
      <c r="W479" s="140"/>
      <c r="X479" s="140"/>
      <c r="Y479" s="140"/>
      <c r="Z479" s="140"/>
    </row>
    <row r="480" spans="6:26" s="141" customFormat="1">
      <c r="F480" s="161"/>
      <c r="G480" s="161"/>
      <c r="I480" s="161"/>
      <c r="K480" s="161"/>
      <c r="Q480" s="143"/>
      <c r="R480" s="143"/>
      <c r="S480" s="143"/>
      <c r="T480" s="140"/>
      <c r="U480" s="140"/>
      <c r="V480" s="140"/>
      <c r="W480" s="140"/>
      <c r="X480" s="140"/>
      <c r="Y480" s="140"/>
      <c r="Z480" s="140"/>
    </row>
    <row r="481" spans="6:26" s="141" customFormat="1">
      <c r="F481" s="161"/>
      <c r="G481" s="161"/>
      <c r="I481" s="161"/>
      <c r="K481" s="161"/>
      <c r="Q481" s="143"/>
      <c r="R481" s="143"/>
      <c r="S481" s="143"/>
      <c r="T481" s="140"/>
      <c r="U481" s="140"/>
      <c r="V481" s="140"/>
      <c r="W481" s="140"/>
      <c r="X481" s="140"/>
      <c r="Y481" s="140"/>
      <c r="Z481" s="140"/>
    </row>
    <row r="482" spans="6:26" s="141" customFormat="1">
      <c r="F482" s="161"/>
      <c r="G482" s="161"/>
      <c r="I482" s="161"/>
      <c r="K482" s="161"/>
      <c r="Q482" s="143"/>
      <c r="R482" s="143"/>
      <c r="S482" s="143"/>
      <c r="T482" s="140"/>
      <c r="U482" s="140"/>
      <c r="V482" s="140"/>
      <c r="W482" s="140"/>
      <c r="X482" s="140"/>
      <c r="Y482" s="140"/>
      <c r="Z482" s="140"/>
    </row>
    <row r="483" spans="6:26" s="141" customFormat="1">
      <c r="F483" s="161"/>
      <c r="G483" s="161"/>
      <c r="I483" s="161"/>
      <c r="K483" s="161"/>
      <c r="Q483" s="143"/>
      <c r="R483" s="143"/>
      <c r="S483" s="143"/>
      <c r="T483" s="140"/>
      <c r="U483" s="140"/>
      <c r="V483" s="140"/>
      <c r="W483" s="140"/>
      <c r="X483" s="140"/>
      <c r="Y483" s="140"/>
      <c r="Z483" s="140"/>
    </row>
    <row r="484" spans="6:26" s="141" customFormat="1">
      <c r="F484" s="161"/>
      <c r="G484" s="161"/>
      <c r="I484" s="161"/>
      <c r="K484" s="161"/>
      <c r="Q484" s="143"/>
      <c r="R484" s="143"/>
      <c r="S484" s="143"/>
      <c r="T484" s="140"/>
      <c r="U484" s="140"/>
      <c r="V484" s="140"/>
      <c r="W484" s="140"/>
      <c r="X484" s="140"/>
      <c r="Y484" s="140"/>
      <c r="Z484" s="140"/>
    </row>
    <row r="485" spans="6:26" s="141" customFormat="1">
      <c r="F485" s="161"/>
      <c r="G485" s="161"/>
      <c r="I485" s="161"/>
      <c r="K485" s="161"/>
      <c r="Q485" s="143"/>
      <c r="R485" s="143"/>
      <c r="S485" s="143"/>
      <c r="T485" s="140"/>
      <c r="U485" s="140"/>
      <c r="V485" s="140"/>
      <c r="W485" s="140"/>
      <c r="X485" s="140"/>
      <c r="Y485" s="140"/>
      <c r="Z485" s="140"/>
    </row>
    <row r="486" spans="6:26" s="141" customFormat="1">
      <c r="F486" s="161"/>
      <c r="G486" s="161"/>
      <c r="I486" s="161"/>
      <c r="K486" s="161"/>
      <c r="Q486" s="143"/>
      <c r="R486" s="143"/>
      <c r="S486" s="143"/>
      <c r="T486" s="140"/>
      <c r="U486" s="140"/>
      <c r="V486" s="140"/>
      <c r="W486" s="140"/>
      <c r="X486" s="140"/>
      <c r="Y486" s="140"/>
      <c r="Z486" s="140"/>
    </row>
    <row r="487" spans="6:26" s="141" customFormat="1">
      <c r="F487" s="161"/>
      <c r="G487" s="161"/>
      <c r="I487" s="161"/>
      <c r="K487" s="161"/>
      <c r="Q487" s="143"/>
      <c r="R487" s="143"/>
      <c r="S487" s="143"/>
      <c r="T487" s="140"/>
      <c r="U487" s="140"/>
      <c r="V487" s="140"/>
      <c r="W487" s="140"/>
      <c r="X487" s="140"/>
      <c r="Y487" s="140"/>
      <c r="Z487" s="140"/>
    </row>
    <row r="488" spans="6:26" s="141" customFormat="1">
      <c r="F488" s="161"/>
      <c r="G488" s="161"/>
      <c r="I488" s="161"/>
      <c r="K488" s="161"/>
      <c r="Q488" s="143"/>
      <c r="R488" s="143"/>
      <c r="S488" s="143"/>
      <c r="T488" s="140"/>
      <c r="U488" s="140"/>
      <c r="V488" s="140"/>
      <c r="W488" s="140"/>
      <c r="X488" s="140"/>
      <c r="Y488" s="140"/>
      <c r="Z488" s="140"/>
    </row>
    <row r="489" spans="6:26" s="141" customFormat="1">
      <c r="F489" s="161"/>
      <c r="G489" s="161"/>
      <c r="I489" s="161"/>
      <c r="K489" s="161"/>
      <c r="Q489" s="143"/>
      <c r="R489" s="143"/>
      <c r="S489" s="143"/>
      <c r="T489" s="140"/>
      <c r="U489" s="140"/>
      <c r="V489" s="140"/>
      <c r="W489" s="140"/>
      <c r="X489" s="140"/>
      <c r="Y489" s="140"/>
      <c r="Z489" s="140"/>
    </row>
    <row r="490" spans="6:26" s="141" customFormat="1">
      <c r="F490" s="161"/>
      <c r="G490" s="161"/>
      <c r="I490" s="161"/>
      <c r="K490" s="161"/>
      <c r="Q490" s="143"/>
      <c r="R490" s="143"/>
      <c r="S490" s="143"/>
      <c r="T490" s="140"/>
      <c r="U490" s="140"/>
      <c r="V490" s="140"/>
      <c r="W490" s="140"/>
      <c r="X490" s="140"/>
      <c r="Y490" s="140"/>
      <c r="Z490" s="140"/>
    </row>
    <row r="491" spans="6:26" s="141" customFormat="1">
      <c r="F491" s="161"/>
      <c r="G491" s="161"/>
      <c r="I491" s="161"/>
      <c r="K491" s="161"/>
      <c r="Q491" s="143"/>
      <c r="R491" s="143"/>
      <c r="S491" s="143"/>
      <c r="T491" s="140"/>
      <c r="U491" s="140"/>
      <c r="V491" s="140"/>
      <c r="W491" s="140"/>
      <c r="X491" s="140"/>
      <c r="Y491" s="140"/>
      <c r="Z491" s="140"/>
    </row>
    <row r="492" spans="6:26" s="141" customFormat="1">
      <c r="F492" s="161"/>
      <c r="G492" s="161"/>
      <c r="I492" s="161"/>
      <c r="K492" s="161"/>
      <c r="Q492" s="143"/>
      <c r="R492" s="143"/>
      <c r="S492" s="143"/>
      <c r="T492" s="140"/>
      <c r="U492" s="140"/>
      <c r="V492" s="140"/>
      <c r="W492" s="140"/>
      <c r="X492" s="140"/>
      <c r="Y492" s="140"/>
      <c r="Z492" s="140"/>
    </row>
    <row r="493" spans="6:26" s="141" customFormat="1">
      <c r="F493" s="161"/>
      <c r="G493" s="161"/>
      <c r="I493" s="161"/>
      <c r="K493" s="161"/>
      <c r="Q493" s="143"/>
      <c r="R493" s="143"/>
      <c r="S493" s="143"/>
      <c r="T493" s="140"/>
      <c r="U493" s="140"/>
      <c r="V493" s="140"/>
      <c r="W493" s="140"/>
      <c r="X493" s="140"/>
      <c r="Y493" s="140"/>
      <c r="Z493" s="140"/>
    </row>
    <row r="494" spans="6:26" s="141" customFormat="1">
      <c r="F494" s="161"/>
      <c r="G494" s="161"/>
      <c r="I494" s="161"/>
      <c r="K494" s="161"/>
      <c r="Q494" s="143"/>
      <c r="R494" s="143"/>
      <c r="S494" s="143"/>
      <c r="T494" s="140"/>
      <c r="U494" s="140"/>
      <c r="V494" s="140"/>
      <c r="W494" s="140"/>
      <c r="X494" s="140"/>
      <c r="Y494" s="140"/>
      <c r="Z494" s="140"/>
    </row>
    <row r="495" spans="6:26" s="141" customFormat="1">
      <c r="F495" s="161"/>
      <c r="G495" s="161"/>
      <c r="I495" s="161"/>
      <c r="K495" s="161"/>
      <c r="Q495" s="143"/>
      <c r="R495" s="143"/>
      <c r="S495" s="143"/>
      <c r="T495" s="140"/>
      <c r="U495" s="140"/>
      <c r="V495" s="140"/>
      <c r="W495" s="140"/>
      <c r="X495" s="140"/>
      <c r="Y495" s="140"/>
      <c r="Z495" s="140"/>
    </row>
    <row r="496" spans="6:26" s="141" customFormat="1">
      <c r="F496" s="161"/>
      <c r="G496" s="161"/>
      <c r="I496" s="161"/>
      <c r="K496" s="161"/>
      <c r="Q496" s="143"/>
      <c r="R496" s="143"/>
      <c r="S496" s="143"/>
      <c r="T496" s="140"/>
      <c r="U496" s="140"/>
      <c r="V496" s="140"/>
      <c r="W496" s="140"/>
      <c r="X496" s="140"/>
      <c r="Y496" s="140"/>
      <c r="Z496" s="140"/>
    </row>
    <row r="497" spans="6:26" s="141" customFormat="1">
      <c r="F497" s="161"/>
      <c r="G497" s="161"/>
      <c r="I497" s="161"/>
      <c r="K497" s="161"/>
      <c r="Q497" s="143"/>
      <c r="R497" s="143"/>
      <c r="S497" s="143"/>
      <c r="T497" s="140"/>
      <c r="U497" s="140"/>
      <c r="V497" s="140"/>
      <c r="W497" s="140"/>
      <c r="X497" s="140"/>
      <c r="Y497" s="140"/>
      <c r="Z497" s="140"/>
    </row>
    <row r="498" spans="6:26" s="141" customFormat="1">
      <c r="F498" s="161"/>
      <c r="G498" s="161"/>
      <c r="I498" s="161"/>
      <c r="K498" s="161"/>
      <c r="Q498" s="143"/>
      <c r="R498" s="143"/>
      <c r="S498" s="143"/>
      <c r="T498" s="140"/>
      <c r="U498" s="140"/>
      <c r="V498" s="140"/>
      <c r="W498" s="140"/>
      <c r="X498" s="140"/>
      <c r="Y498" s="140"/>
      <c r="Z498" s="140"/>
    </row>
    <row r="499" spans="6:26" s="141" customFormat="1">
      <c r="F499" s="161"/>
      <c r="G499" s="161"/>
      <c r="I499" s="161"/>
      <c r="K499" s="161"/>
      <c r="Q499" s="143"/>
      <c r="R499" s="143"/>
      <c r="S499" s="143"/>
      <c r="T499" s="140"/>
      <c r="U499" s="140"/>
      <c r="V499" s="140"/>
      <c r="W499" s="140"/>
      <c r="X499" s="140"/>
      <c r="Y499" s="140"/>
      <c r="Z499" s="140"/>
    </row>
    <row r="500" spans="6:26" s="141" customFormat="1">
      <c r="F500" s="161"/>
      <c r="G500" s="161"/>
      <c r="I500" s="161"/>
      <c r="K500" s="161"/>
      <c r="Q500" s="143"/>
      <c r="R500" s="143"/>
      <c r="S500" s="143"/>
      <c r="T500" s="140"/>
      <c r="U500" s="140"/>
      <c r="V500" s="140"/>
      <c r="W500" s="140"/>
      <c r="X500" s="140"/>
      <c r="Y500" s="140"/>
      <c r="Z500" s="140"/>
    </row>
    <row r="501" spans="6:26" s="141" customFormat="1">
      <c r="F501" s="161"/>
      <c r="G501" s="161"/>
      <c r="I501" s="161"/>
      <c r="K501" s="161"/>
      <c r="Q501" s="143"/>
      <c r="R501" s="143"/>
      <c r="S501" s="143"/>
      <c r="T501" s="140"/>
      <c r="U501" s="140"/>
      <c r="V501" s="140"/>
      <c r="W501" s="140"/>
      <c r="X501" s="140"/>
      <c r="Y501" s="140"/>
      <c r="Z501" s="140"/>
    </row>
    <row r="502" spans="6:26" s="141" customFormat="1">
      <c r="F502" s="161"/>
      <c r="G502" s="161"/>
      <c r="I502" s="161"/>
      <c r="K502" s="161"/>
      <c r="Q502" s="143"/>
      <c r="R502" s="143"/>
      <c r="S502" s="143"/>
      <c r="T502" s="140"/>
      <c r="U502" s="140"/>
      <c r="V502" s="140"/>
      <c r="W502" s="140"/>
      <c r="X502" s="140"/>
      <c r="Y502" s="140"/>
      <c r="Z502" s="140"/>
    </row>
    <row r="503" spans="6:26" s="141" customFormat="1">
      <c r="F503" s="161"/>
      <c r="G503" s="161"/>
      <c r="I503" s="161"/>
      <c r="K503" s="161"/>
      <c r="Q503" s="143"/>
      <c r="R503" s="143"/>
      <c r="S503" s="143"/>
      <c r="T503" s="140"/>
      <c r="U503" s="140"/>
      <c r="V503" s="140"/>
      <c r="W503" s="140"/>
      <c r="X503" s="140"/>
      <c r="Y503" s="140"/>
      <c r="Z503" s="140"/>
    </row>
    <row r="504" spans="6:26" s="141" customFormat="1">
      <c r="F504" s="161"/>
      <c r="G504" s="161"/>
      <c r="I504" s="161"/>
      <c r="K504" s="161"/>
      <c r="Q504" s="143"/>
      <c r="R504" s="143"/>
      <c r="S504" s="143"/>
      <c r="T504" s="140"/>
      <c r="U504" s="140"/>
      <c r="V504" s="140"/>
      <c r="W504" s="140"/>
      <c r="X504" s="140"/>
      <c r="Y504" s="140"/>
      <c r="Z504" s="140"/>
    </row>
    <row r="505" spans="6:26" s="141" customFormat="1">
      <c r="F505" s="161"/>
      <c r="G505" s="161"/>
      <c r="I505" s="161"/>
      <c r="K505" s="161"/>
      <c r="Q505" s="143"/>
      <c r="R505" s="143"/>
      <c r="S505" s="143"/>
      <c r="T505" s="140"/>
      <c r="U505" s="140"/>
      <c r="V505" s="140"/>
      <c r="W505" s="140"/>
      <c r="X505" s="140"/>
      <c r="Y505" s="140"/>
      <c r="Z505" s="140"/>
    </row>
    <row r="506" spans="6:26" s="141" customFormat="1">
      <c r="F506" s="161"/>
      <c r="G506" s="161"/>
      <c r="I506" s="161"/>
      <c r="K506" s="161"/>
      <c r="Q506" s="143"/>
      <c r="R506" s="143"/>
      <c r="S506" s="143"/>
      <c r="T506" s="140"/>
      <c r="U506" s="140"/>
      <c r="V506" s="140"/>
      <c r="W506" s="140"/>
      <c r="X506" s="140"/>
      <c r="Y506" s="140"/>
      <c r="Z506" s="140"/>
    </row>
    <row r="507" spans="6:26" s="141" customFormat="1">
      <c r="F507" s="161"/>
      <c r="G507" s="161"/>
      <c r="I507" s="161"/>
      <c r="K507" s="161"/>
      <c r="Q507" s="143"/>
      <c r="R507" s="143"/>
      <c r="S507" s="143"/>
      <c r="T507" s="140"/>
      <c r="U507" s="140"/>
      <c r="V507" s="140"/>
      <c r="W507" s="140"/>
      <c r="X507" s="140"/>
      <c r="Y507" s="140"/>
      <c r="Z507" s="140"/>
    </row>
    <row r="508" spans="6:26" s="141" customFormat="1">
      <c r="F508" s="161"/>
      <c r="G508" s="161"/>
      <c r="I508" s="161"/>
      <c r="K508" s="161"/>
      <c r="Q508" s="143"/>
      <c r="R508" s="143"/>
      <c r="S508" s="143"/>
      <c r="T508" s="140"/>
      <c r="U508" s="140"/>
      <c r="V508" s="140"/>
      <c r="W508" s="140"/>
      <c r="X508" s="140"/>
      <c r="Y508" s="140"/>
      <c r="Z508" s="140"/>
    </row>
    <row r="509" spans="6:26" s="141" customFormat="1">
      <c r="F509" s="161"/>
      <c r="G509" s="161"/>
      <c r="I509" s="161"/>
      <c r="K509" s="161"/>
      <c r="Q509" s="143"/>
      <c r="R509" s="143"/>
      <c r="S509" s="143"/>
      <c r="T509" s="140"/>
      <c r="U509" s="140"/>
      <c r="V509" s="140"/>
      <c r="W509" s="140"/>
      <c r="X509" s="140"/>
      <c r="Y509" s="140"/>
      <c r="Z509" s="140"/>
    </row>
    <row r="510" spans="6:26" s="141" customFormat="1">
      <c r="F510" s="161"/>
      <c r="G510" s="161"/>
      <c r="I510" s="161"/>
      <c r="K510" s="161"/>
      <c r="Q510" s="143"/>
      <c r="R510" s="143"/>
      <c r="S510" s="143"/>
      <c r="T510" s="140"/>
      <c r="U510" s="140"/>
      <c r="V510" s="140"/>
      <c r="W510" s="140"/>
      <c r="X510" s="140"/>
      <c r="Y510" s="140"/>
      <c r="Z510" s="140"/>
    </row>
    <row r="511" spans="6:26" s="141" customFormat="1">
      <c r="F511" s="161"/>
      <c r="G511" s="161"/>
      <c r="I511" s="161"/>
      <c r="K511" s="161"/>
      <c r="Q511" s="143"/>
      <c r="R511" s="143"/>
      <c r="S511" s="143"/>
      <c r="T511" s="140"/>
      <c r="U511" s="140"/>
      <c r="V511" s="140"/>
      <c r="W511" s="140"/>
      <c r="X511" s="140"/>
      <c r="Y511" s="140"/>
      <c r="Z511" s="140"/>
    </row>
    <row r="512" spans="6:26" s="141" customFormat="1">
      <c r="F512" s="161"/>
      <c r="G512" s="161"/>
      <c r="I512" s="161"/>
      <c r="K512" s="161"/>
      <c r="Q512" s="143"/>
      <c r="R512" s="143"/>
      <c r="S512" s="143"/>
      <c r="T512" s="140"/>
      <c r="U512" s="140"/>
      <c r="V512" s="140"/>
      <c r="W512" s="140"/>
      <c r="X512" s="140"/>
      <c r="Y512" s="140"/>
      <c r="Z512" s="140"/>
    </row>
    <row r="513" spans="6:26" s="141" customFormat="1">
      <c r="F513" s="161"/>
      <c r="G513" s="161"/>
      <c r="I513" s="161"/>
      <c r="K513" s="161"/>
      <c r="Q513" s="143"/>
      <c r="R513" s="143"/>
      <c r="S513" s="143"/>
      <c r="T513" s="140"/>
      <c r="U513" s="140"/>
      <c r="V513" s="140"/>
      <c r="W513" s="140"/>
      <c r="X513" s="140"/>
      <c r="Y513" s="140"/>
      <c r="Z513" s="140"/>
    </row>
    <row r="514" spans="6:26" s="141" customFormat="1">
      <c r="F514" s="161"/>
      <c r="G514" s="161"/>
      <c r="I514" s="161"/>
      <c r="K514" s="161"/>
      <c r="Q514" s="143"/>
      <c r="R514" s="143"/>
      <c r="S514" s="143"/>
      <c r="T514" s="140"/>
      <c r="U514" s="140"/>
      <c r="V514" s="140"/>
      <c r="W514" s="140"/>
      <c r="X514" s="140"/>
      <c r="Y514" s="140"/>
      <c r="Z514" s="140"/>
    </row>
    <row r="515" spans="6:26" s="141" customFormat="1">
      <c r="F515" s="161"/>
      <c r="G515" s="161"/>
      <c r="I515" s="161"/>
      <c r="K515" s="161"/>
      <c r="Q515" s="143"/>
      <c r="R515" s="143"/>
      <c r="S515" s="143"/>
      <c r="T515" s="140"/>
      <c r="U515" s="140"/>
      <c r="V515" s="140"/>
      <c r="W515" s="140"/>
      <c r="X515" s="140"/>
      <c r="Y515" s="140"/>
      <c r="Z515" s="140"/>
    </row>
    <row r="516" spans="6:26" s="141" customFormat="1">
      <c r="F516" s="161"/>
      <c r="G516" s="161"/>
      <c r="I516" s="161"/>
      <c r="K516" s="161"/>
      <c r="Q516" s="143"/>
      <c r="R516" s="143"/>
      <c r="S516" s="143"/>
      <c r="T516" s="140"/>
      <c r="U516" s="140"/>
      <c r="V516" s="140"/>
      <c r="W516" s="140"/>
      <c r="X516" s="140"/>
      <c r="Y516" s="140"/>
      <c r="Z516" s="140"/>
    </row>
    <row r="517" spans="6:26" s="141" customFormat="1">
      <c r="F517" s="161"/>
      <c r="G517" s="161"/>
      <c r="I517" s="161"/>
      <c r="K517" s="161"/>
      <c r="Q517" s="143"/>
      <c r="R517" s="143"/>
      <c r="S517" s="143"/>
      <c r="T517" s="140"/>
      <c r="U517" s="140"/>
      <c r="V517" s="140"/>
      <c r="W517" s="140"/>
      <c r="X517" s="140"/>
      <c r="Y517" s="140"/>
      <c r="Z517" s="140"/>
    </row>
    <row r="518" spans="6:26" s="141" customFormat="1">
      <c r="F518" s="161"/>
      <c r="G518" s="161"/>
      <c r="I518" s="161"/>
      <c r="K518" s="161"/>
      <c r="Q518" s="143"/>
      <c r="R518" s="143"/>
      <c r="S518" s="143"/>
      <c r="T518" s="140"/>
      <c r="U518" s="140"/>
      <c r="V518" s="140"/>
      <c r="W518" s="140"/>
      <c r="X518" s="140"/>
      <c r="Y518" s="140"/>
      <c r="Z518" s="140"/>
    </row>
    <row r="519" spans="6:26" s="141" customFormat="1">
      <c r="F519" s="161"/>
      <c r="G519" s="161"/>
      <c r="I519" s="161"/>
      <c r="K519" s="161"/>
      <c r="Q519" s="143"/>
      <c r="R519" s="143"/>
      <c r="S519" s="143"/>
      <c r="T519" s="140"/>
      <c r="U519" s="140"/>
      <c r="V519" s="140"/>
      <c r="W519" s="140"/>
      <c r="X519" s="140"/>
      <c r="Y519" s="140"/>
      <c r="Z519" s="140"/>
    </row>
    <row r="520" spans="6:26" s="141" customFormat="1">
      <c r="F520" s="161"/>
      <c r="G520" s="161"/>
      <c r="I520" s="161"/>
      <c r="K520" s="161"/>
      <c r="Q520" s="143"/>
      <c r="R520" s="143"/>
      <c r="S520" s="143"/>
      <c r="T520" s="140"/>
      <c r="U520" s="140"/>
      <c r="V520" s="140"/>
      <c r="W520" s="140"/>
      <c r="X520" s="140"/>
      <c r="Y520" s="140"/>
      <c r="Z520" s="140"/>
    </row>
    <row r="521" spans="6:26" s="141" customFormat="1">
      <c r="F521" s="161"/>
      <c r="G521" s="161"/>
      <c r="I521" s="161"/>
      <c r="K521" s="161"/>
      <c r="Q521" s="143"/>
      <c r="R521" s="143"/>
      <c r="S521" s="143"/>
      <c r="T521" s="140"/>
      <c r="U521" s="140"/>
      <c r="V521" s="140"/>
      <c r="W521" s="140"/>
      <c r="X521" s="140"/>
      <c r="Y521" s="140"/>
      <c r="Z521" s="140"/>
    </row>
    <row r="522" spans="6:26" s="141" customFormat="1">
      <c r="F522" s="161"/>
      <c r="G522" s="161"/>
      <c r="I522" s="161"/>
      <c r="K522" s="161"/>
      <c r="Q522" s="143"/>
      <c r="R522" s="143"/>
      <c r="S522" s="143"/>
      <c r="T522" s="140"/>
      <c r="U522" s="140"/>
      <c r="V522" s="140"/>
      <c r="W522" s="140"/>
      <c r="X522" s="140"/>
      <c r="Y522" s="140"/>
      <c r="Z522" s="140"/>
    </row>
    <row r="523" spans="6:26" s="141" customFormat="1">
      <c r="F523" s="161"/>
      <c r="G523" s="161"/>
      <c r="I523" s="161"/>
      <c r="K523" s="161"/>
      <c r="Q523" s="143"/>
      <c r="R523" s="143"/>
      <c r="S523" s="143"/>
      <c r="T523" s="140"/>
      <c r="U523" s="140"/>
      <c r="V523" s="140"/>
      <c r="W523" s="140"/>
      <c r="X523" s="140"/>
      <c r="Y523" s="140"/>
      <c r="Z523" s="140"/>
    </row>
    <row r="524" spans="6:26" s="141" customFormat="1">
      <c r="F524" s="161"/>
      <c r="G524" s="161"/>
      <c r="I524" s="161"/>
      <c r="K524" s="161"/>
      <c r="Q524" s="143"/>
      <c r="R524" s="143"/>
      <c r="S524" s="143"/>
      <c r="T524" s="140"/>
      <c r="U524" s="140"/>
      <c r="V524" s="140"/>
      <c r="W524" s="140"/>
      <c r="X524" s="140"/>
      <c r="Y524" s="140"/>
      <c r="Z524" s="140"/>
    </row>
    <row r="525" spans="6:26" s="141" customFormat="1">
      <c r="F525" s="161"/>
      <c r="G525" s="161"/>
      <c r="I525" s="161"/>
      <c r="K525" s="161"/>
      <c r="Q525" s="143"/>
      <c r="R525" s="143"/>
      <c r="S525" s="143"/>
      <c r="T525" s="140"/>
      <c r="U525" s="140"/>
      <c r="V525" s="140"/>
      <c r="W525" s="140"/>
      <c r="X525" s="140"/>
      <c r="Y525" s="140"/>
      <c r="Z525" s="140"/>
    </row>
    <row r="526" spans="6:26" s="141" customFormat="1">
      <c r="F526" s="161"/>
      <c r="G526" s="161"/>
      <c r="I526" s="161"/>
      <c r="K526" s="161"/>
      <c r="Q526" s="143"/>
      <c r="R526" s="143"/>
      <c r="S526" s="143"/>
      <c r="T526" s="140"/>
      <c r="U526" s="140"/>
      <c r="V526" s="140"/>
      <c r="W526" s="140"/>
      <c r="X526" s="140"/>
      <c r="Y526" s="140"/>
      <c r="Z526" s="140"/>
    </row>
    <row r="527" spans="6:26" s="141" customFormat="1">
      <c r="F527" s="161"/>
      <c r="G527" s="161"/>
      <c r="I527" s="161"/>
      <c r="K527" s="161"/>
      <c r="Q527" s="143"/>
      <c r="R527" s="143"/>
      <c r="S527" s="143"/>
      <c r="T527" s="140"/>
      <c r="U527" s="140"/>
      <c r="V527" s="140"/>
      <c r="W527" s="140"/>
      <c r="X527" s="140"/>
      <c r="Y527" s="140"/>
      <c r="Z527" s="140"/>
    </row>
    <row r="528" spans="6:26" s="141" customFormat="1">
      <c r="F528" s="161"/>
      <c r="G528" s="161"/>
      <c r="I528" s="161"/>
      <c r="K528" s="161"/>
      <c r="Q528" s="143"/>
      <c r="R528" s="143"/>
      <c r="S528" s="143"/>
      <c r="T528" s="140"/>
      <c r="U528" s="140"/>
      <c r="V528" s="140"/>
      <c r="W528" s="140"/>
      <c r="X528" s="140"/>
      <c r="Y528" s="140"/>
      <c r="Z528" s="140"/>
    </row>
    <row r="529" spans="6:26" s="141" customFormat="1">
      <c r="F529" s="161"/>
      <c r="G529" s="161"/>
      <c r="I529" s="161"/>
      <c r="K529" s="161"/>
      <c r="Q529" s="143"/>
      <c r="R529" s="143"/>
      <c r="S529" s="143"/>
      <c r="T529" s="140"/>
      <c r="U529" s="140"/>
      <c r="V529" s="140"/>
      <c r="W529" s="140"/>
      <c r="X529" s="140"/>
      <c r="Y529" s="140"/>
      <c r="Z529" s="140"/>
    </row>
    <row r="530" spans="6:26" s="141" customFormat="1">
      <c r="F530" s="161"/>
      <c r="G530" s="161"/>
      <c r="I530" s="161"/>
      <c r="K530" s="161"/>
      <c r="Q530" s="143"/>
      <c r="R530" s="143"/>
      <c r="S530" s="143"/>
      <c r="T530" s="140"/>
      <c r="U530" s="140"/>
      <c r="V530" s="140"/>
      <c r="W530" s="140"/>
      <c r="X530" s="140"/>
      <c r="Y530" s="140"/>
      <c r="Z530" s="140"/>
    </row>
    <row r="531" spans="6:26" s="141" customFormat="1">
      <c r="F531" s="161"/>
      <c r="G531" s="161"/>
      <c r="I531" s="161"/>
      <c r="K531" s="161"/>
      <c r="Q531" s="143"/>
      <c r="R531" s="143"/>
      <c r="S531" s="143"/>
      <c r="T531" s="140"/>
      <c r="U531" s="140"/>
      <c r="V531" s="140"/>
      <c r="W531" s="140"/>
      <c r="X531" s="140"/>
      <c r="Y531" s="140"/>
      <c r="Z531" s="140"/>
    </row>
    <row r="532" spans="6:26" s="141" customFormat="1">
      <c r="F532" s="161"/>
      <c r="G532" s="161"/>
      <c r="I532" s="161"/>
      <c r="K532" s="161"/>
      <c r="Q532" s="143"/>
      <c r="R532" s="143"/>
      <c r="S532" s="143"/>
      <c r="T532" s="140"/>
      <c r="U532" s="140"/>
      <c r="V532" s="140"/>
      <c r="W532" s="140"/>
      <c r="X532" s="140"/>
      <c r="Y532" s="140"/>
      <c r="Z532" s="140"/>
    </row>
    <row r="533" spans="6:26" s="141" customFormat="1">
      <c r="F533" s="161"/>
      <c r="G533" s="161"/>
      <c r="I533" s="161"/>
      <c r="K533" s="161"/>
      <c r="Q533" s="143"/>
      <c r="R533" s="143"/>
      <c r="S533" s="143"/>
      <c r="T533" s="140"/>
      <c r="U533" s="140"/>
      <c r="V533" s="140"/>
      <c r="W533" s="140"/>
      <c r="X533" s="140"/>
      <c r="Y533" s="140"/>
      <c r="Z533" s="140"/>
    </row>
    <row r="534" spans="6:26" s="141" customFormat="1">
      <c r="F534" s="161"/>
      <c r="G534" s="161"/>
      <c r="I534" s="161"/>
      <c r="K534" s="161"/>
      <c r="Q534" s="143"/>
      <c r="R534" s="143"/>
      <c r="S534" s="143"/>
      <c r="T534" s="140"/>
      <c r="U534" s="140"/>
      <c r="V534" s="140"/>
      <c r="W534" s="140"/>
      <c r="X534" s="140"/>
      <c r="Y534" s="140"/>
      <c r="Z534" s="140"/>
    </row>
    <row r="535" spans="6:26" s="141" customFormat="1">
      <c r="F535" s="161"/>
      <c r="G535" s="161"/>
      <c r="I535" s="161"/>
      <c r="K535" s="161"/>
      <c r="Q535" s="143"/>
      <c r="R535" s="143"/>
      <c r="S535" s="143"/>
      <c r="T535" s="140"/>
      <c r="U535" s="140"/>
      <c r="V535" s="140"/>
      <c r="W535" s="140"/>
      <c r="X535" s="140"/>
      <c r="Y535" s="140"/>
      <c r="Z535" s="140"/>
    </row>
    <row r="536" spans="6:26" s="141" customFormat="1">
      <c r="F536" s="161"/>
      <c r="G536" s="161"/>
      <c r="I536" s="161"/>
      <c r="K536" s="161"/>
      <c r="Q536" s="143"/>
      <c r="R536" s="143"/>
      <c r="S536" s="143"/>
      <c r="T536" s="140"/>
      <c r="U536" s="140"/>
      <c r="V536" s="140"/>
      <c r="W536" s="140"/>
      <c r="X536" s="140"/>
      <c r="Y536" s="140"/>
      <c r="Z536" s="140"/>
    </row>
    <row r="537" spans="6:26" s="141" customFormat="1">
      <c r="F537" s="161"/>
      <c r="G537" s="161"/>
      <c r="I537" s="161"/>
      <c r="K537" s="161"/>
      <c r="Q537" s="143"/>
      <c r="R537" s="143"/>
      <c r="S537" s="143"/>
      <c r="T537" s="140"/>
      <c r="U537" s="140"/>
      <c r="V537" s="140"/>
      <c r="W537" s="140"/>
      <c r="X537" s="140"/>
      <c r="Y537" s="140"/>
      <c r="Z537" s="140"/>
    </row>
    <row r="538" spans="6:26" s="141" customFormat="1">
      <c r="F538" s="161"/>
      <c r="G538" s="161"/>
      <c r="I538" s="161"/>
      <c r="K538" s="161"/>
      <c r="Q538" s="143"/>
      <c r="R538" s="143"/>
      <c r="S538" s="143"/>
      <c r="T538" s="140"/>
      <c r="U538" s="140"/>
      <c r="V538" s="140"/>
      <c r="W538" s="140"/>
      <c r="X538" s="140"/>
      <c r="Y538" s="140"/>
      <c r="Z538" s="140"/>
    </row>
    <row r="539" spans="6:26" s="141" customFormat="1">
      <c r="F539" s="161"/>
      <c r="G539" s="161"/>
      <c r="I539" s="161"/>
      <c r="K539" s="161"/>
      <c r="Q539" s="143"/>
      <c r="R539" s="143"/>
      <c r="S539" s="143"/>
      <c r="T539" s="140"/>
      <c r="U539" s="140"/>
      <c r="V539" s="140"/>
      <c r="W539" s="140"/>
      <c r="X539" s="140"/>
      <c r="Y539" s="140"/>
      <c r="Z539" s="140"/>
    </row>
    <row r="540" spans="6:26" s="141" customFormat="1">
      <c r="F540" s="161"/>
      <c r="G540" s="161"/>
      <c r="I540" s="161"/>
      <c r="K540" s="161"/>
      <c r="Q540" s="143"/>
      <c r="R540" s="143"/>
      <c r="S540" s="143"/>
      <c r="T540" s="140"/>
      <c r="U540" s="140"/>
      <c r="V540" s="140"/>
      <c r="W540" s="140"/>
      <c r="X540" s="140"/>
      <c r="Y540" s="140"/>
      <c r="Z540" s="140"/>
    </row>
    <row r="541" spans="6:26" s="141" customFormat="1">
      <c r="F541" s="161"/>
      <c r="G541" s="161"/>
      <c r="I541" s="161"/>
      <c r="K541" s="161"/>
      <c r="Q541" s="143"/>
      <c r="R541" s="143"/>
      <c r="S541" s="143"/>
      <c r="T541" s="140"/>
      <c r="U541" s="140"/>
      <c r="V541" s="140"/>
      <c r="W541" s="140"/>
      <c r="X541" s="140"/>
      <c r="Y541" s="140"/>
      <c r="Z541" s="140"/>
    </row>
    <row r="542" spans="6:26" s="141" customFormat="1">
      <c r="F542" s="161"/>
      <c r="G542" s="161"/>
      <c r="I542" s="161"/>
      <c r="K542" s="161"/>
      <c r="Q542" s="143"/>
      <c r="R542" s="143"/>
      <c r="S542" s="143"/>
      <c r="T542" s="140"/>
      <c r="U542" s="140"/>
      <c r="V542" s="140"/>
      <c r="W542" s="140"/>
      <c r="X542" s="140"/>
      <c r="Y542" s="140"/>
      <c r="Z542" s="140"/>
    </row>
    <row r="543" spans="6:26" s="141" customFormat="1">
      <c r="F543" s="161"/>
      <c r="G543" s="161"/>
      <c r="I543" s="161"/>
      <c r="K543" s="161"/>
      <c r="Q543" s="143"/>
      <c r="R543" s="143"/>
      <c r="S543" s="143"/>
      <c r="T543" s="140"/>
      <c r="U543" s="140"/>
      <c r="V543" s="140"/>
      <c r="W543" s="140"/>
      <c r="X543" s="140"/>
      <c r="Y543" s="140"/>
      <c r="Z543" s="140"/>
    </row>
    <row r="544" spans="6:26" s="141" customFormat="1">
      <c r="F544" s="161"/>
      <c r="G544" s="161"/>
      <c r="I544" s="161"/>
      <c r="K544" s="161"/>
      <c r="Q544" s="143"/>
      <c r="R544" s="143"/>
      <c r="S544" s="143"/>
      <c r="T544" s="140"/>
      <c r="U544" s="140"/>
      <c r="V544" s="140"/>
      <c r="W544" s="140"/>
      <c r="X544" s="140"/>
      <c r="Y544" s="140"/>
      <c r="Z544" s="140"/>
    </row>
    <row r="545" spans="6:26" s="141" customFormat="1">
      <c r="F545" s="161"/>
      <c r="G545" s="161"/>
      <c r="I545" s="161"/>
      <c r="K545" s="161"/>
      <c r="Q545" s="143"/>
      <c r="R545" s="143"/>
      <c r="S545" s="143"/>
      <c r="T545" s="140"/>
      <c r="U545" s="140"/>
      <c r="V545" s="140"/>
      <c r="W545" s="140"/>
      <c r="X545" s="140"/>
      <c r="Y545" s="140"/>
      <c r="Z545" s="140"/>
    </row>
    <row r="546" spans="6:26" s="141" customFormat="1">
      <c r="F546" s="161"/>
      <c r="G546" s="161"/>
      <c r="I546" s="161"/>
      <c r="K546" s="161"/>
      <c r="Q546" s="143"/>
      <c r="R546" s="143"/>
      <c r="S546" s="143"/>
      <c r="T546" s="140"/>
      <c r="U546" s="140"/>
      <c r="V546" s="140"/>
      <c r="W546" s="140"/>
      <c r="X546" s="140"/>
      <c r="Y546" s="140"/>
      <c r="Z546" s="140"/>
    </row>
    <row r="547" spans="6:26" s="141" customFormat="1">
      <c r="F547" s="161"/>
      <c r="G547" s="161"/>
      <c r="I547" s="161"/>
      <c r="K547" s="161"/>
      <c r="Q547" s="143"/>
      <c r="R547" s="143"/>
      <c r="S547" s="143"/>
      <c r="T547" s="140"/>
      <c r="U547" s="140"/>
      <c r="V547" s="140"/>
      <c r="W547" s="140"/>
      <c r="X547" s="140"/>
      <c r="Y547" s="140"/>
      <c r="Z547" s="140"/>
    </row>
    <row r="548" spans="6:26" s="141" customFormat="1">
      <c r="F548" s="161"/>
      <c r="G548" s="161"/>
      <c r="I548" s="161"/>
      <c r="K548" s="161"/>
      <c r="Q548" s="143"/>
      <c r="R548" s="143"/>
      <c r="S548" s="143"/>
      <c r="T548" s="140"/>
      <c r="U548" s="140"/>
      <c r="V548" s="140"/>
      <c r="W548" s="140"/>
      <c r="X548" s="140"/>
      <c r="Y548" s="140"/>
      <c r="Z548" s="140"/>
    </row>
    <row r="549" spans="6:26" s="141" customFormat="1">
      <c r="F549" s="161"/>
      <c r="G549" s="161"/>
      <c r="I549" s="161"/>
      <c r="K549" s="161"/>
      <c r="Q549" s="143"/>
      <c r="R549" s="143"/>
      <c r="S549" s="143"/>
      <c r="T549" s="140"/>
      <c r="U549" s="140"/>
      <c r="V549" s="140"/>
      <c r="W549" s="140"/>
      <c r="X549" s="140"/>
      <c r="Y549" s="140"/>
      <c r="Z549" s="140"/>
    </row>
    <row r="550" spans="6:26" s="141" customFormat="1">
      <c r="F550" s="161"/>
      <c r="G550" s="161"/>
      <c r="I550" s="161"/>
      <c r="K550" s="161"/>
      <c r="Q550" s="143"/>
      <c r="R550" s="143"/>
      <c r="S550" s="143"/>
      <c r="T550" s="140"/>
      <c r="U550" s="140"/>
      <c r="V550" s="140"/>
      <c r="W550" s="140"/>
      <c r="X550" s="140"/>
      <c r="Y550" s="140"/>
      <c r="Z550" s="140"/>
    </row>
    <row r="551" spans="6:26" s="141" customFormat="1">
      <c r="F551" s="161"/>
      <c r="G551" s="161"/>
      <c r="I551" s="161"/>
      <c r="K551" s="161"/>
      <c r="Q551" s="143"/>
      <c r="R551" s="143"/>
      <c r="S551" s="143"/>
      <c r="T551" s="140"/>
      <c r="U551" s="140"/>
      <c r="V551" s="140"/>
      <c r="W551" s="140"/>
      <c r="X551" s="140"/>
      <c r="Y551" s="140"/>
      <c r="Z551" s="140"/>
    </row>
    <row r="552" spans="6:26" s="141" customFormat="1">
      <c r="F552" s="161"/>
      <c r="G552" s="161"/>
      <c r="I552" s="161"/>
      <c r="K552" s="161"/>
      <c r="Q552" s="143"/>
      <c r="R552" s="143"/>
      <c r="S552" s="143"/>
      <c r="T552" s="140"/>
      <c r="U552" s="140"/>
      <c r="V552" s="140"/>
      <c r="W552" s="140"/>
      <c r="X552" s="140"/>
      <c r="Y552" s="140"/>
      <c r="Z552" s="140"/>
    </row>
    <row r="553" spans="6:26" s="141" customFormat="1">
      <c r="F553" s="161"/>
      <c r="G553" s="161"/>
      <c r="I553" s="161"/>
      <c r="K553" s="161"/>
      <c r="Q553" s="143"/>
      <c r="R553" s="143"/>
      <c r="S553" s="143"/>
      <c r="T553" s="140"/>
      <c r="U553" s="140"/>
      <c r="V553" s="140"/>
      <c r="W553" s="140"/>
      <c r="X553" s="140"/>
      <c r="Y553" s="140"/>
      <c r="Z553" s="140"/>
    </row>
    <row r="554" spans="6:26" s="141" customFormat="1">
      <c r="F554" s="161"/>
      <c r="G554" s="161"/>
      <c r="I554" s="161"/>
      <c r="K554" s="161"/>
      <c r="Q554" s="143"/>
      <c r="R554" s="143"/>
      <c r="S554" s="143"/>
      <c r="T554" s="140"/>
      <c r="U554" s="140"/>
      <c r="V554" s="140"/>
      <c r="W554" s="140"/>
      <c r="X554" s="140"/>
      <c r="Y554" s="140"/>
      <c r="Z554" s="140"/>
    </row>
    <row r="555" spans="6:26" s="141" customFormat="1">
      <c r="F555" s="161"/>
      <c r="G555" s="161"/>
      <c r="I555" s="161"/>
      <c r="K555" s="161"/>
      <c r="Q555" s="143"/>
      <c r="R555" s="143"/>
      <c r="S555" s="143"/>
      <c r="T555" s="140"/>
      <c r="U555" s="140"/>
      <c r="V555" s="140"/>
      <c r="W555" s="140"/>
      <c r="X555" s="140"/>
      <c r="Y555" s="140"/>
      <c r="Z555" s="140"/>
    </row>
    <row r="556" spans="6:26" s="141" customFormat="1">
      <c r="F556" s="161"/>
      <c r="G556" s="161"/>
      <c r="I556" s="161"/>
      <c r="K556" s="161"/>
      <c r="Q556" s="143"/>
      <c r="R556" s="143"/>
      <c r="S556" s="143"/>
      <c r="T556" s="140"/>
      <c r="U556" s="140"/>
      <c r="V556" s="140"/>
      <c r="W556" s="140"/>
      <c r="X556" s="140"/>
      <c r="Y556" s="140"/>
      <c r="Z556" s="140"/>
    </row>
    <row r="557" spans="6:26" s="141" customFormat="1">
      <c r="F557" s="161"/>
      <c r="G557" s="161"/>
      <c r="I557" s="161"/>
      <c r="K557" s="161"/>
      <c r="Q557" s="143"/>
      <c r="R557" s="143"/>
      <c r="S557" s="143"/>
      <c r="T557" s="140"/>
      <c r="U557" s="140"/>
      <c r="V557" s="140"/>
      <c r="W557" s="140"/>
      <c r="X557" s="140"/>
      <c r="Y557" s="140"/>
      <c r="Z557" s="140"/>
    </row>
    <row r="558" spans="6:26" s="141" customFormat="1">
      <c r="F558" s="161"/>
      <c r="G558" s="161"/>
      <c r="I558" s="161"/>
      <c r="K558" s="161"/>
      <c r="Q558" s="143"/>
      <c r="R558" s="143"/>
      <c r="S558" s="143"/>
      <c r="T558" s="140"/>
      <c r="U558" s="140"/>
      <c r="V558" s="140"/>
      <c r="W558" s="140"/>
      <c r="X558" s="140"/>
      <c r="Y558" s="140"/>
      <c r="Z558" s="140"/>
    </row>
    <row r="559" spans="6:26" s="141" customFormat="1">
      <c r="F559" s="161"/>
      <c r="G559" s="161"/>
      <c r="I559" s="161"/>
      <c r="K559" s="161"/>
      <c r="Q559" s="143"/>
      <c r="R559" s="143"/>
      <c r="S559" s="143"/>
      <c r="T559" s="140"/>
      <c r="U559" s="140"/>
      <c r="V559" s="140"/>
      <c r="W559" s="140"/>
      <c r="X559" s="140"/>
      <c r="Y559" s="140"/>
      <c r="Z559" s="140"/>
    </row>
    <row r="560" spans="6:26" s="141" customFormat="1">
      <c r="F560" s="161"/>
      <c r="G560" s="161"/>
      <c r="I560" s="161"/>
      <c r="K560" s="161"/>
      <c r="Q560" s="143"/>
      <c r="R560" s="143"/>
      <c r="S560" s="143"/>
      <c r="T560" s="140"/>
      <c r="U560" s="140"/>
      <c r="V560" s="140"/>
      <c r="W560" s="140"/>
      <c r="X560" s="140"/>
      <c r="Y560" s="140"/>
      <c r="Z560" s="140"/>
    </row>
    <row r="561" spans="6:26" s="141" customFormat="1">
      <c r="F561" s="161"/>
      <c r="G561" s="161"/>
      <c r="I561" s="161"/>
      <c r="K561" s="161"/>
      <c r="Q561" s="143"/>
      <c r="R561" s="143"/>
      <c r="S561" s="143"/>
      <c r="T561" s="140"/>
      <c r="U561" s="140"/>
      <c r="V561" s="140"/>
      <c r="W561" s="140"/>
      <c r="X561" s="140"/>
      <c r="Y561" s="140"/>
      <c r="Z561" s="140"/>
    </row>
    <row r="562" spans="6:26" s="141" customFormat="1">
      <c r="F562" s="161"/>
      <c r="G562" s="161"/>
      <c r="I562" s="161"/>
      <c r="K562" s="161"/>
      <c r="Q562" s="143"/>
      <c r="R562" s="143"/>
      <c r="S562" s="143"/>
      <c r="T562" s="140"/>
      <c r="U562" s="140"/>
      <c r="V562" s="140"/>
      <c r="W562" s="140"/>
      <c r="X562" s="140"/>
      <c r="Y562" s="140"/>
      <c r="Z562" s="140"/>
    </row>
    <row r="563" spans="6:26" s="141" customFormat="1">
      <c r="F563" s="161"/>
      <c r="G563" s="161"/>
      <c r="I563" s="161"/>
      <c r="K563" s="161"/>
      <c r="Q563" s="143"/>
      <c r="R563" s="143"/>
      <c r="S563" s="143"/>
      <c r="T563" s="140"/>
      <c r="U563" s="140"/>
      <c r="V563" s="140"/>
      <c r="W563" s="140"/>
      <c r="X563" s="140"/>
      <c r="Y563" s="140"/>
      <c r="Z563" s="140"/>
    </row>
    <row r="564" spans="6:26" s="141" customFormat="1">
      <c r="F564" s="161"/>
      <c r="G564" s="161"/>
      <c r="I564" s="161"/>
      <c r="K564" s="161"/>
      <c r="Q564" s="143"/>
      <c r="R564" s="143"/>
      <c r="S564" s="143"/>
      <c r="T564" s="140"/>
      <c r="U564" s="140"/>
      <c r="V564" s="140"/>
      <c r="W564" s="140"/>
      <c r="X564" s="140"/>
      <c r="Y564" s="140"/>
      <c r="Z564" s="140"/>
    </row>
    <row r="565" spans="6:26" s="141" customFormat="1">
      <c r="F565" s="161"/>
      <c r="G565" s="161"/>
      <c r="I565" s="161"/>
      <c r="K565" s="161"/>
      <c r="Q565" s="143"/>
      <c r="R565" s="143"/>
      <c r="S565" s="143"/>
      <c r="T565" s="140"/>
      <c r="U565" s="140"/>
      <c r="V565" s="140"/>
      <c r="W565" s="140"/>
      <c r="X565" s="140"/>
      <c r="Y565" s="140"/>
      <c r="Z565" s="140"/>
    </row>
    <row r="566" spans="6:26" s="141" customFormat="1">
      <c r="F566" s="161"/>
      <c r="G566" s="161"/>
      <c r="I566" s="161"/>
      <c r="K566" s="161"/>
      <c r="Q566" s="143"/>
      <c r="R566" s="143"/>
      <c r="S566" s="143"/>
      <c r="T566" s="140"/>
      <c r="U566" s="140"/>
      <c r="V566" s="140"/>
      <c r="W566" s="140"/>
      <c r="X566" s="140"/>
      <c r="Y566" s="140"/>
      <c r="Z566" s="140"/>
    </row>
    <row r="567" spans="6:26" s="141" customFormat="1">
      <c r="F567" s="161"/>
      <c r="G567" s="161"/>
      <c r="I567" s="161"/>
      <c r="K567" s="161"/>
      <c r="Q567" s="143"/>
      <c r="R567" s="143"/>
      <c r="S567" s="143"/>
      <c r="T567" s="140"/>
      <c r="U567" s="140"/>
      <c r="V567" s="140"/>
      <c r="W567" s="140"/>
      <c r="X567" s="140"/>
      <c r="Y567" s="140"/>
      <c r="Z567" s="140"/>
    </row>
    <row r="568" spans="6:26" s="141" customFormat="1">
      <c r="F568" s="161"/>
      <c r="G568" s="161"/>
      <c r="I568" s="161"/>
      <c r="K568" s="161"/>
      <c r="Q568" s="143"/>
      <c r="R568" s="143"/>
      <c r="S568" s="143"/>
      <c r="T568" s="140"/>
      <c r="U568" s="140"/>
      <c r="V568" s="140"/>
      <c r="W568" s="140"/>
      <c r="X568" s="140"/>
      <c r="Y568" s="140"/>
      <c r="Z568" s="140"/>
    </row>
    <row r="569" spans="6:26" s="141" customFormat="1">
      <c r="F569" s="161"/>
      <c r="G569" s="161"/>
      <c r="I569" s="161"/>
      <c r="K569" s="161"/>
      <c r="Q569" s="143"/>
      <c r="R569" s="143"/>
      <c r="S569" s="143"/>
      <c r="T569" s="140"/>
      <c r="U569" s="140"/>
      <c r="V569" s="140"/>
      <c r="W569" s="140"/>
      <c r="X569" s="140"/>
      <c r="Y569" s="140"/>
      <c r="Z569" s="140"/>
    </row>
    <row r="570" spans="6:26" s="141" customFormat="1">
      <c r="F570" s="161"/>
      <c r="G570" s="161"/>
      <c r="I570" s="161"/>
      <c r="K570" s="161"/>
      <c r="Q570" s="143"/>
      <c r="R570" s="143"/>
      <c r="S570" s="143"/>
      <c r="T570" s="140"/>
      <c r="U570" s="140"/>
      <c r="V570" s="140"/>
      <c r="W570" s="140"/>
      <c r="X570" s="140"/>
      <c r="Y570" s="140"/>
      <c r="Z570" s="140"/>
    </row>
    <row r="571" spans="6:26" s="141" customFormat="1">
      <c r="F571" s="161"/>
      <c r="G571" s="161"/>
      <c r="I571" s="161"/>
      <c r="K571" s="161"/>
      <c r="Q571" s="143"/>
      <c r="R571" s="143"/>
      <c r="S571" s="143"/>
      <c r="T571" s="140"/>
      <c r="U571" s="140"/>
      <c r="V571" s="140"/>
      <c r="W571" s="140"/>
      <c r="X571" s="140"/>
      <c r="Y571" s="140"/>
      <c r="Z571" s="140"/>
    </row>
    <row r="572" spans="6:26" s="141" customFormat="1">
      <c r="F572" s="161"/>
      <c r="G572" s="161"/>
      <c r="I572" s="161"/>
      <c r="K572" s="161"/>
      <c r="Q572" s="143"/>
      <c r="R572" s="143"/>
      <c r="S572" s="143"/>
      <c r="T572" s="140"/>
      <c r="U572" s="140"/>
      <c r="V572" s="140"/>
      <c r="W572" s="140"/>
      <c r="X572" s="140"/>
      <c r="Y572" s="140"/>
      <c r="Z572" s="140"/>
    </row>
    <row r="573" spans="6:26" s="141" customFormat="1">
      <c r="F573" s="161"/>
      <c r="G573" s="161"/>
      <c r="I573" s="161"/>
      <c r="K573" s="161"/>
      <c r="Q573" s="143"/>
      <c r="R573" s="143"/>
      <c r="S573" s="143"/>
      <c r="T573" s="140"/>
      <c r="U573" s="140"/>
      <c r="V573" s="140"/>
      <c r="W573" s="140"/>
      <c r="X573" s="140"/>
      <c r="Y573" s="140"/>
      <c r="Z573" s="140"/>
    </row>
    <row r="574" spans="6:26" s="141" customFormat="1">
      <c r="F574" s="161"/>
      <c r="G574" s="161"/>
      <c r="I574" s="161"/>
      <c r="K574" s="161"/>
      <c r="Q574" s="143"/>
      <c r="R574" s="143"/>
      <c r="S574" s="143"/>
      <c r="T574" s="140"/>
      <c r="U574" s="140"/>
      <c r="V574" s="140"/>
      <c r="W574" s="140"/>
      <c r="X574" s="140"/>
      <c r="Y574" s="140"/>
      <c r="Z574" s="140"/>
    </row>
    <row r="575" spans="6:26" s="141" customFormat="1">
      <c r="F575" s="161"/>
      <c r="G575" s="161"/>
      <c r="I575" s="161"/>
      <c r="K575" s="161"/>
      <c r="Q575" s="143"/>
      <c r="R575" s="143"/>
      <c r="S575" s="143"/>
      <c r="T575" s="140"/>
      <c r="U575" s="140"/>
      <c r="V575" s="140"/>
      <c r="W575" s="140"/>
      <c r="X575" s="140"/>
      <c r="Y575" s="140"/>
      <c r="Z575" s="140"/>
    </row>
    <row r="576" spans="6:26" s="141" customFormat="1">
      <c r="F576" s="161"/>
      <c r="G576" s="161"/>
      <c r="I576" s="161"/>
      <c r="K576" s="161"/>
      <c r="Q576" s="143"/>
      <c r="R576" s="143"/>
      <c r="S576" s="143"/>
      <c r="T576" s="140"/>
      <c r="U576" s="140"/>
      <c r="V576" s="140"/>
      <c r="W576" s="140"/>
      <c r="X576" s="140"/>
      <c r="Y576" s="140"/>
      <c r="Z576" s="140"/>
    </row>
    <row r="577" spans="6:26" s="141" customFormat="1">
      <c r="F577" s="161"/>
      <c r="G577" s="161"/>
      <c r="I577" s="161"/>
      <c r="K577" s="161"/>
      <c r="Q577" s="143"/>
      <c r="R577" s="143"/>
      <c r="S577" s="143"/>
      <c r="T577" s="140"/>
      <c r="U577" s="140"/>
      <c r="V577" s="140"/>
      <c r="W577" s="140"/>
      <c r="X577" s="140"/>
      <c r="Y577" s="140"/>
      <c r="Z577" s="140"/>
    </row>
    <row r="578" spans="6:26" s="141" customFormat="1">
      <c r="F578" s="161"/>
      <c r="G578" s="161"/>
      <c r="I578" s="161"/>
      <c r="K578" s="161"/>
      <c r="Q578" s="143"/>
      <c r="R578" s="143"/>
      <c r="S578" s="143"/>
      <c r="T578" s="140"/>
      <c r="U578" s="140"/>
      <c r="V578" s="140"/>
      <c r="W578" s="140"/>
      <c r="X578" s="140"/>
      <c r="Y578" s="140"/>
      <c r="Z578" s="140"/>
    </row>
    <row r="579" spans="6:26" s="141" customFormat="1">
      <c r="F579" s="161"/>
      <c r="G579" s="161"/>
      <c r="I579" s="161"/>
      <c r="K579" s="161"/>
      <c r="Q579" s="143"/>
      <c r="R579" s="143"/>
      <c r="S579" s="143"/>
      <c r="T579" s="140"/>
      <c r="U579" s="140"/>
      <c r="V579" s="140"/>
      <c r="W579" s="140"/>
      <c r="X579" s="140"/>
      <c r="Y579" s="140"/>
      <c r="Z579" s="140"/>
    </row>
    <row r="580" spans="6:26" s="141" customFormat="1">
      <c r="F580" s="161"/>
      <c r="G580" s="161"/>
      <c r="I580" s="161"/>
      <c r="K580" s="161"/>
      <c r="Q580" s="143"/>
      <c r="R580" s="143"/>
      <c r="S580" s="143"/>
      <c r="T580" s="140"/>
      <c r="U580" s="140"/>
      <c r="V580" s="140"/>
      <c r="W580" s="140"/>
      <c r="X580" s="140"/>
      <c r="Y580" s="140"/>
      <c r="Z580" s="140"/>
    </row>
    <row r="581" spans="6:26" s="141" customFormat="1">
      <c r="F581" s="161"/>
      <c r="G581" s="161"/>
      <c r="I581" s="161"/>
      <c r="K581" s="161"/>
      <c r="Q581" s="143"/>
      <c r="R581" s="143"/>
      <c r="S581" s="143"/>
      <c r="T581" s="140"/>
      <c r="U581" s="140"/>
      <c r="V581" s="140"/>
      <c r="W581" s="140"/>
      <c r="X581" s="140"/>
      <c r="Y581" s="140"/>
      <c r="Z581" s="140"/>
    </row>
    <row r="582" spans="6:26" s="141" customFormat="1">
      <c r="F582" s="161"/>
      <c r="G582" s="161"/>
      <c r="I582" s="161"/>
      <c r="K582" s="161"/>
      <c r="Q582" s="143"/>
      <c r="R582" s="143"/>
      <c r="S582" s="143"/>
      <c r="T582" s="140"/>
      <c r="U582" s="140"/>
      <c r="V582" s="140"/>
      <c r="W582" s="140"/>
      <c r="X582" s="140"/>
      <c r="Y582" s="140"/>
      <c r="Z582" s="140"/>
    </row>
    <row r="583" spans="6:26" s="141" customFormat="1">
      <c r="F583" s="161"/>
      <c r="G583" s="161"/>
      <c r="I583" s="161"/>
      <c r="K583" s="161"/>
      <c r="Q583" s="143"/>
      <c r="R583" s="143"/>
      <c r="S583" s="143"/>
      <c r="T583" s="140"/>
      <c r="U583" s="140"/>
      <c r="V583" s="140"/>
      <c r="W583" s="140"/>
      <c r="X583" s="140"/>
      <c r="Y583" s="140"/>
      <c r="Z583" s="140"/>
    </row>
    <row r="584" spans="6:26" s="141" customFormat="1">
      <c r="F584" s="161"/>
      <c r="G584" s="161"/>
      <c r="I584" s="161"/>
      <c r="K584" s="161"/>
      <c r="Q584" s="143"/>
      <c r="R584" s="143"/>
      <c r="S584" s="143"/>
      <c r="T584" s="140"/>
      <c r="U584" s="140"/>
      <c r="V584" s="140"/>
      <c r="W584" s="140"/>
      <c r="X584" s="140"/>
      <c r="Y584" s="140"/>
      <c r="Z584" s="140"/>
    </row>
    <row r="585" spans="6:26" s="141" customFormat="1">
      <c r="F585" s="161"/>
      <c r="G585" s="161"/>
      <c r="I585" s="161"/>
      <c r="K585" s="161"/>
      <c r="Q585" s="143"/>
      <c r="R585" s="143"/>
      <c r="S585" s="143"/>
      <c r="T585" s="140"/>
      <c r="U585" s="140"/>
      <c r="V585" s="140"/>
      <c r="W585" s="140"/>
      <c r="X585" s="140"/>
      <c r="Y585" s="140"/>
      <c r="Z585" s="140"/>
    </row>
    <row r="586" spans="6:26" s="141" customFormat="1">
      <c r="F586" s="161"/>
      <c r="G586" s="161"/>
      <c r="I586" s="161"/>
      <c r="K586" s="161"/>
      <c r="Q586" s="143"/>
      <c r="R586" s="143"/>
      <c r="S586" s="143"/>
      <c r="T586" s="140"/>
      <c r="U586" s="140"/>
      <c r="V586" s="140"/>
      <c r="W586" s="140"/>
      <c r="X586" s="140"/>
      <c r="Y586" s="140"/>
      <c r="Z586" s="140"/>
    </row>
    <row r="587" spans="6:26" s="141" customFormat="1">
      <c r="F587" s="161"/>
      <c r="G587" s="161"/>
      <c r="I587" s="161"/>
      <c r="K587" s="161"/>
      <c r="Q587" s="143"/>
      <c r="R587" s="143"/>
      <c r="S587" s="143"/>
      <c r="T587" s="140"/>
      <c r="U587" s="140"/>
      <c r="V587" s="140"/>
      <c r="W587" s="140"/>
      <c r="X587" s="140"/>
      <c r="Y587" s="140"/>
      <c r="Z587" s="140"/>
    </row>
    <row r="588" spans="6:26" s="141" customFormat="1">
      <c r="F588" s="161"/>
      <c r="G588" s="161"/>
      <c r="I588" s="161"/>
      <c r="K588" s="161"/>
      <c r="Q588" s="143"/>
      <c r="R588" s="143"/>
      <c r="S588" s="143"/>
      <c r="T588" s="140"/>
      <c r="U588" s="140"/>
      <c r="V588" s="140"/>
      <c r="W588" s="140"/>
      <c r="X588" s="140"/>
      <c r="Y588" s="140"/>
      <c r="Z588" s="140"/>
    </row>
    <row r="589" spans="6:26" s="141" customFormat="1">
      <c r="F589" s="161"/>
      <c r="G589" s="161"/>
      <c r="I589" s="161"/>
      <c r="K589" s="161"/>
      <c r="Q589" s="143"/>
      <c r="R589" s="143"/>
      <c r="S589" s="143"/>
      <c r="T589" s="140"/>
      <c r="U589" s="140"/>
      <c r="V589" s="140"/>
      <c r="W589" s="140"/>
      <c r="X589" s="140"/>
      <c r="Y589" s="140"/>
      <c r="Z589" s="140"/>
    </row>
    <row r="590" spans="6:26" s="141" customFormat="1">
      <c r="F590" s="161"/>
      <c r="G590" s="161"/>
      <c r="I590" s="161"/>
      <c r="K590" s="161"/>
      <c r="Q590" s="143"/>
      <c r="R590" s="143"/>
      <c r="S590" s="143"/>
      <c r="T590" s="140"/>
      <c r="U590" s="140"/>
      <c r="V590" s="140"/>
      <c r="W590" s="140"/>
      <c r="X590" s="140"/>
      <c r="Y590" s="140"/>
      <c r="Z590" s="140"/>
    </row>
    <row r="591" spans="6:26" s="141" customFormat="1">
      <c r="F591" s="161"/>
      <c r="G591" s="161"/>
      <c r="I591" s="161"/>
      <c r="K591" s="161"/>
      <c r="Q591" s="143"/>
      <c r="R591" s="143"/>
      <c r="S591" s="143"/>
      <c r="T591" s="140"/>
      <c r="U591" s="140"/>
      <c r="V591" s="140"/>
      <c r="W591" s="140"/>
      <c r="X591" s="140"/>
      <c r="Y591" s="140"/>
      <c r="Z591" s="140"/>
    </row>
    <row r="592" spans="6:26" s="141" customFormat="1">
      <c r="F592" s="161"/>
      <c r="G592" s="161"/>
      <c r="I592" s="161"/>
      <c r="K592" s="161"/>
      <c r="Q592" s="143"/>
      <c r="R592" s="143"/>
      <c r="S592" s="143"/>
      <c r="T592" s="140"/>
      <c r="U592" s="140"/>
      <c r="V592" s="140"/>
      <c r="W592" s="140"/>
      <c r="X592" s="140"/>
      <c r="Y592" s="140"/>
      <c r="Z592" s="140"/>
    </row>
    <row r="593" spans="6:26" s="141" customFormat="1">
      <c r="F593" s="161"/>
      <c r="G593" s="161"/>
      <c r="I593" s="161"/>
      <c r="K593" s="161"/>
      <c r="Q593" s="143"/>
      <c r="R593" s="143"/>
      <c r="S593" s="143"/>
      <c r="T593" s="140"/>
      <c r="U593" s="140"/>
      <c r="V593" s="140"/>
      <c r="W593" s="140"/>
      <c r="X593" s="140"/>
      <c r="Y593" s="140"/>
      <c r="Z593" s="140"/>
    </row>
    <row r="594" spans="6:26" s="141" customFormat="1">
      <c r="F594" s="161"/>
      <c r="G594" s="161"/>
      <c r="I594" s="161"/>
      <c r="K594" s="161"/>
      <c r="Q594" s="143"/>
      <c r="R594" s="143"/>
      <c r="S594" s="143"/>
      <c r="T594" s="140"/>
      <c r="U594" s="140"/>
      <c r="V594" s="140"/>
      <c r="W594" s="140"/>
      <c r="X594" s="140"/>
      <c r="Y594" s="140"/>
      <c r="Z594" s="140"/>
    </row>
    <row r="595" spans="6:26" s="141" customFormat="1">
      <c r="F595" s="161"/>
      <c r="G595" s="161"/>
      <c r="I595" s="161"/>
      <c r="K595" s="161"/>
      <c r="Q595" s="143"/>
      <c r="R595" s="143"/>
      <c r="S595" s="143"/>
      <c r="T595" s="140"/>
      <c r="U595" s="140"/>
      <c r="V595" s="140"/>
      <c r="W595" s="140"/>
      <c r="X595" s="140"/>
      <c r="Y595" s="140"/>
      <c r="Z595" s="140"/>
    </row>
    <row r="596" spans="6:26" s="141" customFormat="1">
      <c r="F596" s="161"/>
      <c r="G596" s="161"/>
      <c r="I596" s="161"/>
      <c r="K596" s="161"/>
      <c r="Q596" s="143"/>
      <c r="R596" s="143"/>
      <c r="S596" s="143"/>
      <c r="T596" s="140"/>
      <c r="U596" s="140"/>
      <c r="V596" s="140"/>
      <c r="W596" s="140"/>
      <c r="X596" s="140"/>
      <c r="Y596" s="140"/>
      <c r="Z596" s="140"/>
    </row>
    <row r="597" spans="6:26" s="141" customFormat="1">
      <c r="F597" s="161"/>
      <c r="G597" s="161"/>
      <c r="I597" s="161"/>
      <c r="K597" s="161"/>
      <c r="Q597" s="143"/>
      <c r="R597" s="143"/>
      <c r="S597" s="143"/>
      <c r="T597" s="140"/>
      <c r="U597" s="140"/>
      <c r="V597" s="140"/>
      <c r="W597" s="140"/>
      <c r="X597" s="140"/>
      <c r="Y597" s="140"/>
      <c r="Z597" s="140"/>
    </row>
    <row r="598" spans="6:26" s="141" customFormat="1">
      <c r="F598" s="161"/>
      <c r="G598" s="161"/>
      <c r="I598" s="161"/>
      <c r="K598" s="161"/>
      <c r="Q598" s="143"/>
      <c r="R598" s="143"/>
      <c r="S598" s="143"/>
      <c r="T598" s="140"/>
      <c r="U598" s="140"/>
      <c r="V598" s="140"/>
      <c r="W598" s="140"/>
      <c r="X598" s="140"/>
      <c r="Y598" s="140"/>
      <c r="Z598" s="140"/>
    </row>
    <row r="599" spans="6:26" s="141" customFormat="1">
      <c r="F599" s="161"/>
      <c r="G599" s="161"/>
      <c r="I599" s="161"/>
      <c r="K599" s="161"/>
      <c r="Q599" s="143"/>
      <c r="R599" s="143"/>
      <c r="S599" s="143"/>
      <c r="T599" s="140"/>
      <c r="U599" s="140"/>
      <c r="V599" s="140"/>
      <c r="W599" s="140"/>
      <c r="X599" s="140"/>
      <c r="Y599" s="140"/>
      <c r="Z599" s="140"/>
    </row>
    <row r="600" spans="6:26" s="141" customFormat="1">
      <c r="F600" s="161"/>
      <c r="G600" s="161"/>
      <c r="I600" s="161"/>
      <c r="K600" s="161"/>
      <c r="Q600" s="143"/>
      <c r="R600" s="143"/>
      <c r="S600" s="143"/>
      <c r="T600" s="140"/>
      <c r="U600" s="140"/>
      <c r="V600" s="140"/>
      <c r="W600" s="140"/>
      <c r="X600" s="140"/>
      <c r="Y600" s="140"/>
      <c r="Z600" s="140"/>
    </row>
    <row r="601" spans="6:26" s="141" customFormat="1">
      <c r="F601" s="161"/>
      <c r="G601" s="161"/>
      <c r="I601" s="161"/>
      <c r="K601" s="161"/>
      <c r="Q601" s="143"/>
      <c r="R601" s="143"/>
      <c r="S601" s="143"/>
      <c r="T601" s="140"/>
      <c r="U601" s="140"/>
      <c r="V601" s="140"/>
      <c r="W601" s="140"/>
      <c r="X601" s="140"/>
      <c r="Y601" s="140"/>
      <c r="Z601" s="140"/>
    </row>
    <row r="602" spans="6:26" s="141" customFormat="1">
      <c r="F602" s="161"/>
      <c r="G602" s="161"/>
      <c r="I602" s="161"/>
      <c r="K602" s="161"/>
      <c r="Q602" s="143"/>
      <c r="R602" s="143"/>
      <c r="S602" s="143"/>
      <c r="T602" s="140"/>
      <c r="U602" s="140"/>
      <c r="V602" s="140"/>
      <c r="W602" s="140"/>
      <c r="X602" s="140"/>
      <c r="Y602" s="140"/>
      <c r="Z602" s="140"/>
    </row>
    <row r="603" spans="6:26" s="141" customFormat="1">
      <c r="F603" s="161"/>
      <c r="G603" s="161"/>
      <c r="I603" s="161"/>
      <c r="K603" s="161"/>
      <c r="Q603" s="143"/>
      <c r="R603" s="143"/>
      <c r="S603" s="143"/>
      <c r="T603" s="140"/>
      <c r="U603" s="140"/>
      <c r="V603" s="140"/>
      <c r="W603" s="140"/>
      <c r="X603" s="140"/>
      <c r="Y603" s="140"/>
      <c r="Z603" s="140"/>
    </row>
    <row r="604" spans="6:26" s="141" customFormat="1">
      <c r="F604" s="161"/>
      <c r="G604" s="161"/>
      <c r="I604" s="161"/>
      <c r="K604" s="161"/>
      <c r="Q604" s="143"/>
      <c r="R604" s="143"/>
      <c r="S604" s="143"/>
      <c r="T604" s="140"/>
      <c r="U604" s="140"/>
      <c r="V604" s="140"/>
      <c r="W604" s="140"/>
      <c r="X604" s="140"/>
      <c r="Y604" s="140"/>
      <c r="Z604" s="140"/>
    </row>
    <row r="605" spans="6:26" s="141" customFormat="1">
      <c r="F605" s="161"/>
      <c r="G605" s="161"/>
      <c r="I605" s="161"/>
      <c r="K605" s="161"/>
      <c r="Q605" s="143"/>
      <c r="R605" s="143"/>
      <c r="S605" s="143"/>
      <c r="T605" s="140"/>
      <c r="U605" s="140"/>
      <c r="V605" s="140"/>
      <c r="W605" s="140"/>
      <c r="X605" s="140"/>
      <c r="Y605" s="140"/>
      <c r="Z605" s="140"/>
    </row>
    <row r="606" spans="6:26" s="141" customFormat="1">
      <c r="F606" s="161"/>
      <c r="G606" s="161"/>
      <c r="I606" s="161"/>
      <c r="K606" s="161"/>
      <c r="Q606" s="143"/>
      <c r="R606" s="143"/>
      <c r="S606" s="143"/>
      <c r="T606" s="140"/>
      <c r="U606" s="140"/>
      <c r="V606" s="140"/>
      <c r="W606" s="140"/>
      <c r="X606" s="140"/>
      <c r="Y606" s="140"/>
      <c r="Z606" s="140"/>
    </row>
    <row r="607" spans="6:26" s="141" customFormat="1">
      <c r="F607" s="161"/>
      <c r="G607" s="161"/>
      <c r="I607" s="161"/>
      <c r="K607" s="161"/>
      <c r="Q607" s="143"/>
      <c r="R607" s="143"/>
      <c r="S607" s="143"/>
      <c r="T607" s="140"/>
      <c r="U607" s="140"/>
      <c r="V607" s="140"/>
      <c r="W607" s="140"/>
      <c r="X607" s="140"/>
      <c r="Y607" s="140"/>
      <c r="Z607" s="140"/>
    </row>
    <row r="608" spans="6:26" s="141" customFormat="1">
      <c r="F608" s="161"/>
      <c r="G608" s="161"/>
      <c r="I608" s="161"/>
      <c r="K608" s="161"/>
      <c r="Q608" s="143"/>
      <c r="R608" s="143"/>
      <c r="S608" s="143"/>
      <c r="T608" s="140"/>
      <c r="U608" s="140"/>
      <c r="V608" s="140"/>
      <c r="W608" s="140"/>
      <c r="X608" s="140"/>
      <c r="Y608" s="140"/>
      <c r="Z608" s="140"/>
    </row>
    <row r="609" spans="6:26" s="141" customFormat="1">
      <c r="F609" s="161"/>
      <c r="G609" s="161"/>
      <c r="I609" s="161"/>
      <c r="K609" s="161"/>
      <c r="Q609" s="143"/>
      <c r="R609" s="143"/>
      <c r="S609" s="143"/>
      <c r="T609" s="140"/>
      <c r="U609" s="140"/>
      <c r="V609" s="140"/>
      <c r="W609" s="140"/>
      <c r="X609" s="140"/>
      <c r="Y609" s="140"/>
      <c r="Z609" s="140"/>
    </row>
    <row r="610" spans="6:26" s="141" customFormat="1">
      <c r="F610" s="161"/>
      <c r="G610" s="161"/>
      <c r="I610" s="161"/>
      <c r="K610" s="161"/>
      <c r="Q610" s="143"/>
      <c r="R610" s="143"/>
      <c r="S610" s="143"/>
      <c r="T610" s="140"/>
      <c r="U610" s="140"/>
      <c r="V610" s="140"/>
      <c r="W610" s="140"/>
      <c r="X610" s="140"/>
      <c r="Y610" s="140"/>
      <c r="Z610" s="140"/>
    </row>
    <row r="611" spans="6:26" s="141" customFormat="1">
      <c r="F611" s="161"/>
      <c r="G611" s="161"/>
      <c r="I611" s="161"/>
      <c r="K611" s="161"/>
      <c r="Q611" s="143"/>
      <c r="R611" s="143"/>
      <c r="S611" s="143"/>
      <c r="T611" s="140"/>
      <c r="U611" s="140"/>
      <c r="V611" s="140"/>
      <c r="W611" s="140"/>
      <c r="X611" s="140"/>
      <c r="Y611" s="140"/>
      <c r="Z611" s="140"/>
    </row>
    <row r="612" spans="6:26" s="141" customFormat="1">
      <c r="F612" s="161"/>
      <c r="G612" s="161"/>
      <c r="I612" s="161"/>
      <c r="K612" s="161"/>
      <c r="Q612" s="143"/>
      <c r="R612" s="143"/>
      <c r="S612" s="143"/>
      <c r="T612" s="140"/>
      <c r="U612" s="140"/>
      <c r="V612" s="140"/>
      <c r="W612" s="140"/>
      <c r="X612" s="140"/>
      <c r="Y612" s="140"/>
      <c r="Z612" s="140"/>
    </row>
    <row r="613" spans="6:26" s="141" customFormat="1">
      <c r="F613" s="161"/>
      <c r="G613" s="161"/>
      <c r="I613" s="161"/>
      <c r="K613" s="161"/>
      <c r="Q613" s="143"/>
      <c r="R613" s="143"/>
      <c r="S613" s="143"/>
      <c r="T613" s="140"/>
      <c r="U613" s="140"/>
      <c r="V613" s="140"/>
      <c r="W613" s="140"/>
      <c r="X613" s="140"/>
      <c r="Y613" s="140"/>
      <c r="Z613" s="140"/>
    </row>
    <row r="614" spans="6:26" s="141" customFormat="1">
      <c r="F614" s="161"/>
      <c r="G614" s="161"/>
      <c r="I614" s="161"/>
      <c r="K614" s="161"/>
      <c r="Q614" s="143"/>
      <c r="R614" s="143"/>
      <c r="S614" s="143"/>
      <c r="T614" s="140"/>
      <c r="U614" s="140"/>
      <c r="V614" s="140"/>
      <c r="W614" s="140"/>
      <c r="X614" s="140"/>
      <c r="Y614" s="140"/>
      <c r="Z614" s="140"/>
    </row>
    <row r="615" spans="6:26" s="141" customFormat="1">
      <c r="F615" s="161"/>
      <c r="G615" s="161"/>
      <c r="I615" s="161"/>
      <c r="K615" s="161"/>
      <c r="Q615" s="143"/>
      <c r="R615" s="143"/>
      <c r="S615" s="143"/>
      <c r="T615" s="140"/>
      <c r="U615" s="140"/>
      <c r="V615" s="140"/>
      <c r="W615" s="140"/>
      <c r="X615" s="140"/>
      <c r="Y615" s="140"/>
      <c r="Z615" s="140"/>
    </row>
    <row r="616" spans="6:26" s="141" customFormat="1">
      <c r="F616" s="161"/>
      <c r="G616" s="161"/>
      <c r="I616" s="161"/>
      <c r="K616" s="161"/>
      <c r="Q616" s="143"/>
      <c r="R616" s="143"/>
      <c r="S616" s="143"/>
      <c r="T616" s="140"/>
      <c r="U616" s="140"/>
      <c r="V616" s="140"/>
      <c r="W616" s="140"/>
      <c r="X616" s="140"/>
      <c r="Y616" s="140"/>
      <c r="Z616" s="140"/>
    </row>
    <row r="617" spans="6:26" s="141" customFormat="1">
      <c r="F617" s="161"/>
      <c r="G617" s="161"/>
      <c r="I617" s="161"/>
      <c r="K617" s="161"/>
      <c r="Q617" s="143"/>
      <c r="R617" s="143"/>
      <c r="S617" s="143"/>
      <c r="T617" s="140"/>
      <c r="U617" s="140"/>
      <c r="V617" s="140"/>
      <c r="W617" s="140"/>
      <c r="X617" s="140"/>
      <c r="Y617" s="140"/>
      <c r="Z617" s="140"/>
    </row>
    <row r="618" spans="6:26" s="141" customFormat="1">
      <c r="F618" s="161"/>
      <c r="G618" s="161"/>
      <c r="I618" s="161"/>
      <c r="K618" s="161"/>
      <c r="Q618" s="143"/>
      <c r="R618" s="143"/>
      <c r="S618" s="143"/>
      <c r="T618" s="140"/>
      <c r="U618" s="140"/>
      <c r="V618" s="140"/>
      <c r="W618" s="140"/>
      <c r="X618" s="140"/>
      <c r="Y618" s="140"/>
      <c r="Z618" s="140"/>
    </row>
    <row r="619" spans="6:26" s="141" customFormat="1">
      <c r="F619" s="161"/>
      <c r="G619" s="161"/>
      <c r="I619" s="161"/>
      <c r="K619" s="161"/>
      <c r="Q619" s="143"/>
      <c r="R619" s="143"/>
      <c r="S619" s="143"/>
      <c r="T619" s="140"/>
      <c r="U619" s="140"/>
      <c r="V619" s="140"/>
      <c r="W619" s="140"/>
      <c r="X619" s="140"/>
      <c r="Y619" s="140"/>
      <c r="Z619" s="140"/>
    </row>
    <row r="620" spans="6:26" s="141" customFormat="1">
      <c r="F620" s="161"/>
      <c r="G620" s="161"/>
      <c r="I620" s="161"/>
      <c r="K620" s="161"/>
      <c r="Q620" s="143"/>
      <c r="R620" s="143"/>
      <c r="S620" s="143"/>
      <c r="T620" s="140"/>
      <c r="U620" s="140"/>
      <c r="V620" s="140"/>
      <c r="W620" s="140"/>
      <c r="X620" s="140"/>
      <c r="Y620" s="140"/>
      <c r="Z620" s="140"/>
    </row>
    <row r="621" spans="6:26" s="141" customFormat="1">
      <c r="F621" s="161"/>
      <c r="G621" s="161"/>
      <c r="I621" s="161"/>
      <c r="K621" s="161"/>
      <c r="Q621" s="143"/>
      <c r="R621" s="143"/>
      <c r="S621" s="143"/>
      <c r="T621" s="140"/>
      <c r="U621" s="140"/>
      <c r="V621" s="140"/>
      <c r="W621" s="140"/>
      <c r="X621" s="140"/>
      <c r="Y621" s="140"/>
      <c r="Z621" s="140"/>
    </row>
    <row r="622" spans="6:26" s="141" customFormat="1">
      <c r="F622" s="161"/>
      <c r="G622" s="161"/>
      <c r="I622" s="161"/>
      <c r="K622" s="161"/>
      <c r="Q622" s="143"/>
      <c r="R622" s="143"/>
      <c r="S622" s="143"/>
      <c r="T622" s="140"/>
      <c r="U622" s="140"/>
      <c r="V622" s="140"/>
      <c r="W622" s="140"/>
      <c r="X622" s="140"/>
      <c r="Y622" s="140"/>
      <c r="Z622" s="140"/>
    </row>
    <row r="623" spans="6:26" s="141" customFormat="1">
      <c r="F623" s="161"/>
      <c r="G623" s="161"/>
      <c r="I623" s="161"/>
      <c r="K623" s="161"/>
      <c r="Q623" s="143"/>
      <c r="R623" s="143"/>
      <c r="S623" s="143"/>
      <c r="T623" s="140"/>
      <c r="U623" s="140"/>
      <c r="V623" s="140"/>
      <c r="W623" s="140"/>
      <c r="X623" s="140"/>
      <c r="Y623" s="140"/>
      <c r="Z623" s="140"/>
    </row>
    <row r="624" spans="6:26" s="141" customFormat="1">
      <c r="F624" s="161"/>
      <c r="G624" s="161"/>
      <c r="I624" s="161"/>
      <c r="K624" s="161"/>
      <c r="Q624" s="143"/>
      <c r="R624" s="143"/>
      <c r="S624" s="143"/>
      <c r="T624" s="140"/>
      <c r="U624" s="140"/>
      <c r="V624" s="140"/>
      <c r="W624" s="140"/>
      <c r="X624" s="140"/>
      <c r="Y624" s="140"/>
      <c r="Z624" s="140"/>
    </row>
    <row r="625" spans="6:26" s="141" customFormat="1">
      <c r="F625" s="161"/>
      <c r="G625" s="161"/>
      <c r="I625" s="161"/>
      <c r="K625" s="161"/>
      <c r="Q625" s="143"/>
      <c r="R625" s="143"/>
      <c r="S625" s="143"/>
      <c r="T625" s="140"/>
      <c r="U625" s="140"/>
      <c r="V625" s="140"/>
      <c r="W625" s="140"/>
      <c r="X625" s="140"/>
      <c r="Y625" s="140"/>
      <c r="Z625" s="140"/>
    </row>
    <row r="626" spans="6:26" s="141" customFormat="1">
      <c r="F626" s="161"/>
      <c r="G626" s="161"/>
      <c r="I626" s="161"/>
      <c r="K626" s="161"/>
      <c r="Q626" s="143"/>
      <c r="R626" s="143"/>
      <c r="S626" s="143"/>
      <c r="T626" s="140"/>
      <c r="U626" s="140"/>
      <c r="V626" s="140"/>
      <c r="W626" s="140"/>
      <c r="X626" s="140"/>
      <c r="Y626" s="140"/>
      <c r="Z626" s="140"/>
    </row>
    <row r="627" spans="6:26" s="141" customFormat="1">
      <c r="F627" s="161"/>
      <c r="G627" s="161"/>
      <c r="I627" s="161"/>
      <c r="K627" s="161"/>
      <c r="Q627" s="143"/>
      <c r="R627" s="143"/>
      <c r="S627" s="143"/>
      <c r="T627" s="140"/>
      <c r="U627" s="140"/>
      <c r="V627" s="140"/>
      <c r="W627" s="140"/>
      <c r="X627" s="140"/>
      <c r="Y627" s="140"/>
      <c r="Z627" s="140"/>
    </row>
    <row r="628" spans="6:26" s="141" customFormat="1">
      <c r="F628" s="161"/>
      <c r="G628" s="161"/>
      <c r="I628" s="161"/>
      <c r="K628" s="161"/>
      <c r="Q628" s="143"/>
      <c r="R628" s="143"/>
      <c r="S628" s="143"/>
      <c r="T628" s="140"/>
      <c r="U628" s="140"/>
      <c r="V628" s="140"/>
      <c r="W628" s="140"/>
      <c r="X628" s="140"/>
      <c r="Y628" s="140"/>
      <c r="Z628" s="140"/>
    </row>
    <row r="629" spans="6:26" s="141" customFormat="1">
      <c r="F629" s="161"/>
      <c r="G629" s="161"/>
      <c r="I629" s="161"/>
      <c r="K629" s="161"/>
      <c r="Q629" s="143"/>
      <c r="R629" s="143"/>
      <c r="S629" s="143"/>
      <c r="T629" s="140"/>
      <c r="U629" s="140"/>
      <c r="V629" s="140"/>
      <c r="W629" s="140"/>
      <c r="X629" s="140"/>
      <c r="Y629" s="140"/>
      <c r="Z629" s="140"/>
    </row>
    <row r="630" spans="6:26" s="141" customFormat="1">
      <c r="F630" s="161"/>
      <c r="G630" s="161"/>
      <c r="I630" s="161"/>
      <c r="K630" s="161"/>
      <c r="Q630" s="143"/>
      <c r="R630" s="143"/>
      <c r="S630" s="143"/>
      <c r="T630" s="140"/>
      <c r="U630" s="140"/>
      <c r="V630" s="140"/>
      <c r="W630" s="140"/>
      <c r="X630" s="140"/>
      <c r="Y630" s="140"/>
      <c r="Z630" s="140"/>
    </row>
    <row r="631" spans="6:26" s="141" customFormat="1">
      <c r="F631" s="161"/>
      <c r="G631" s="161"/>
      <c r="I631" s="161"/>
      <c r="K631" s="161"/>
      <c r="Q631" s="143"/>
      <c r="R631" s="143"/>
      <c r="S631" s="143"/>
      <c r="T631" s="140"/>
      <c r="U631" s="140"/>
      <c r="V631" s="140"/>
      <c r="W631" s="140"/>
      <c r="X631" s="140"/>
      <c r="Y631" s="140"/>
      <c r="Z631" s="140"/>
    </row>
    <row r="632" spans="6:26" s="141" customFormat="1">
      <c r="F632" s="161"/>
      <c r="G632" s="161"/>
      <c r="I632" s="161"/>
      <c r="K632" s="161"/>
      <c r="Q632" s="143"/>
      <c r="R632" s="143"/>
      <c r="S632" s="143"/>
      <c r="T632" s="140"/>
      <c r="U632" s="140"/>
      <c r="V632" s="140"/>
      <c r="W632" s="140"/>
      <c r="X632" s="140"/>
      <c r="Y632" s="140"/>
      <c r="Z632" s="140"/>
    </row>
    <row r="633" spans="6:26" s="141" customFormat="1">
      <c r="F633" s="161"/>
      <c r="G633" s="161"/>
      <c r="I633" s="161"/>
      <c r="K633" s="161"/>
      <c r="Q633" s="143"/>
      <c r="R633" s="143"/>
      <c r="S633" s="143"/>
      <c r="T633" s="140"/>
      <c r="U633" s="140"/>
      <c r="V633" s="140"/>
      <c r="W633" s="140"/>
      <c r="X633" s="140"/>
      <c r="Y633" s="140"/>
      <c r="Z633" s="140"/>
    </row>
    <row r="634" spans="6:26" s="141" customFormat="1">
      <c r="F634" s="161"/>
      <c r="G634" s="161"/>
      <c r="I634" s="161"/>
      <c r="K634" s="161"/>
      <c r="Q634" s="143"/>
      <c r="R634" s="143"/>
      <c r="S634" s="143"/>
      <c r="T634" s="140"/>
      <c r="U634" s="140"/>
      <c r="V634" s="140"/>
      <c r="W634" s="140"/>
      <c r="X634" s="140"/>
      <c r="Y634" s="140"/>
      <c r="Z634" s="140"/>
    </row>
    <row r="635" spans="6:26" s="141" customFormat="1">
      <c r="F635" s="161"/>
      <c r="G635" s="161"/>
      <c r="I635" s="161"/>
      <c r="K635" s="161"/>
      <c r="Q635" s="143"/>
      <c r="R635" s="143"/>
      <c r="S635" s="143"/>
      <c r="T635" s="140"/>
      <c r="U635" s="140"/>
      <c r="V635" s="140"/>
      <c r="W635" s="140"/>
      <c r="X635" s="140"/>
      <c r="Y635" s="140"/>
      <c r="Z635" s="140"/>
    </row>
    <row r="636" spans="6:26" s="141" customFormat="1">
      <c r="F636" s="161"/>
      <c r="G636" s="161"/>
      <c r="I636" s="161"/>
      <c r="K636" s="161"/>
      <c r="Q636" s="143"/>
      <c r="R636" s="143"/>
      <c r="S636" s="143"/>
      <c r="T636" s="140"/>
      <c r="U636" s="140"/>
      <c r="V636" s="140"/>
      <c r="W636" s="140"/>
      <c r="X636" s="140"/>
      <c r="Y636" s="140"/>
      <c r="Z636" s="140"/>
    </row>
    <row r="637" spans="6:26" s="141" customFormat="1">
      <c r="F637" s="161"/>
      <c r="G637" s="161"/>
      <c r="I637" s="161"/>
      <c r="K637" s="161"/>
      <c r="Q637" s="143"/>
      <c r="R637" s="143"/>
      <c r="S637" s="143"/>
      <c r="T637" s="140"/>
      <c r="U637" s="140"/>
      <c r="V637" s="140"/>
      <c r="W637" s="140"/>
      <c r="X637" s="140"/>
      <c r="Y637" s="140"/>
      <c r="Z637" s="140"/>
    </row>
    <row r="638" spans="6:26" s="141" customFormat="1">
      <c r="F638" s="161"/>
      <c r="G638" s="161"/>
      <c r="I638" s="161"/>
      <c r="K638" s="161"/>
      <c r="Q638" s="143"/>
      <c r="R638" s="143"/>
      <c r="S638" s="143"/>
      <c r="T638" s="140"/>
      <c r="U638" s="140"/>
      <c r="V638" s="140"/>
      <c r="W638" s="140"/>
      <c r="X638" s="140"/>
      <c r="Y638" s="140"/>
      <c r="Z638" s="140"/>
    </row>
    <row r="639" spans="6:26" s="141" customFormat="1">
      <c r="F639" s="161"/>
      <c r="G639" s="161"/>
      <c r="I639" s="161"/>
      <c r="K639" s="161"/>
      <c r="Q639" s="143"/>
      <c r="R639" s="143"/>
      <c r="S639" s="143"/>
      <c r="T639" s="140"/>
      <c r="U639" s="140"/>
      <c r="V639" s="140"/>
      <c r="W639" s="140"/>
      <c r="X639" s="140"/>
      <c r="Y639" s="140"/>
      <c r="Z639" s="140"/>
    </row>
    <row r="640" spans="6:26" s="141" customFormat="1">
      <c r="F640" s="161"/>
      <c r="G640" s="161"/>
      <c r="I640" s="161"/>
      <c r="K640" s="161"/>
      <c r="Q640" s="143"/>
      <c r="R640" s="143"/>
      <c r="S640" s="143"/>
      <c r="T640" s="140"/>
      <c r="U640" s="140"/>
      <c r="V640" s="140"/>
      <c r="W640" s="140"/>
      <c r="X640" s="140"/>
      <c r="Y640" s="140"/>
      <c r="Z640" s="140"/>
    </row>
    <row r="641" spans="6:26" s="141" customFormat="1">
      <c r="F641" s="161"/>
      <c r="G641" s="161"/>
      <c r="I641" s="161"/>
      <c r="K641" s="161"/>
      <c r="Q641" s="143"/>
      <c r="R641" s="143"/>
      <c r="S641" s="143"/>
      <c r="T641" s="140"/>
      <c r="U641" s="140"/>
      <c r="V641" s="140"/>
      <c r="W641" s="140"/>
      <c r="X641" s="140"/>
      <c r="Y641" s="140"/>
      <c r="Z641" s="140"/>
    </row>
    <row r="642" spans="6:26" s="141" customFormat="1">
      <c r="F642" s="161"/>
      <c r="G642" s="161"/>
      <c r="I642" s="161"/>
      <c r="K642" s="161"/>
      <c r="Q642" s="143"/>
      <c r="R642" s="143"/>
      <c r="S642" s="143"/>
      <c r="T642" s="140"/>
      <c r="U642" s="140"/>
      <c r="V642" s="140"/>
      <c r="W642" s="140"/>
      <c r="X642" s="140"/>
      <c r="Y642" s="140"/>
      <c r="Z642" s="140"/>
    </row>
    <row r="643" spans="6:26" s="141" customFormat="1">
      <c r="F643" s="161"/>
      <c r="G643" s="161"/>
      <c r="I643" s="161"/>
      <c r="K643" s="161"/>
      <c r="Q643" s="143"/>
      <c r="R643" s="143"/>
      <c r="S643" s="143"/>
      <c r="T643" s="140"/>
      <c r="U643" s="140"/>
      <c r="V643" s="140"/>
      <c r="W643" s="140"/>
      <c r="X643" s="140"/>
      <c r="Y643" s="140"/>
      <c r="Z643" s="140"/>
    </row>
    <row r="644" spans="6:26" s="141" customFormat="1">
      <c r="F644" s="161"/>
      <c r="G644" s="161"/>
      <c r="I644" s="161"/>
      <c r="K644" s="161"/>
      <c r="Q644" s="143"/>
      <c r="R644" s="143"/>
      <c r="S644" s="143"/>
      <c r="T644" s="140"/>
      <c r="U644" s="140"/>
      <c r="V644" s="140"/>
      <c r="W644" s="140"/>
      <c r="X644" s="140"/>
      <c r="Y644" s="140"/>
      <c r="Z644" s="140"/>
    </row>
    <row r="645" spans="6:26" s="141" customFormat="1">
      <c r="F645" s="161"/>
      <c r="G645" s="161"/>
      <c r="I645" s="161"/>
      <c r="K645" s="161"/>
      <c r="Q645" s="143"/>
      <c r="R645" s="143"/>
      <c r="S645" s="143"/>
      <c r="T645" s="140"/>
      <c r="U645" s="140"/>
      <c r="V645" s="140"/>
      <c r="W645" s="140"/>
      <c r="X645" s="140"/>
      <c r="Y645" s="140"/>
      <c r="Z645" s="140"/>
    </row>
    <row r="646" spans="6:26" s="141" customFormat="1">
      <c r="F646" s="161"/>
      <c r="G646" s="161"/>
      <c r="I646" s="161"/>
      <c r="K646" s="161"/>
      <c r="Q646" s="143"/>
      <c r="R646" s="143"/>
      <c r="S646" s="143"/>
      <c r="T646" s="140"/>
      <c r="U646" s="140"/>
      <c r="V646" s="140"/>
      <c r="W646" s="140"/>
      <c r="X646" s="140"/>
      <c r="Y646" s="140"/>
      <c r="Z646" s="140"/>
    </row>
    <row r="647" spans="6:26" s="141" customFormat="1">
      <c r="F647" s="161"/>
      <c r="G647" s="161"/>
      <c r="I647" s="161"/>
      <c r="K647" s="161"/>
      <c r="Q647" s="143"/>
      <c r="R647" s="143"/>
      <c r="S647" s="143"/>
      <c r="T647" s="140"/>
      <c r="U647" s="140"/>
      <c r="V647" s="140"/>
      <c r="W647" s="140"/>
      <c r="X647" s="140"/>
      <c r="Y647" s="140"/>
      <c r="Z647" s="140"/>
    </row>
    <row r="648" spans="6:26" s="141" customFormat="1">
      <c r="F648" s="161"/>
      <c r="G648" s="161"/>
      <c r="I648" s="161"/>
      <c r="K648" s="161"/>
      <c r="Q648" s="143"/>
      <c r="R648" s="143"/>
      <c r="S648" s="143"/>
      <c r="T648" s="140"/>
      <c r="U648" s="140"/>
      <c r="V648" s="140"/>
      <c r="W648" s="140"/>
      <c r="X648" s="140"/>
      <c r="Y648" s="140"/>
      <c r="Z648" s="140"/>
    </row>
    <row r="649" spans="6:26" s="141" customFormat="1">
      <c r="F649" s="161"/>
      <c r="G649" s="161"/>
      <c r="I649" s="161"/>
      <c r="K649" s="161"/>
      <c r="Q649" s="143"/>
      <c r="R649" s="143"/>
      <c r="S649" s="143"/>
      <c r="T649" s="140"/>
      <c r="U649" s="140"/>
      <c r="V649" s="140"/>
      <c r="W649" s="140"/>
      <c r="X649" s="140"/>
      <c r="Y649" s="140"/>
      <c r="Z649" s="140"/>
    </row>
    <row r="650" spans="6:26" s="141" customFormat="1">
      <c r="F650" s="161"/>
      <c r="G650" s="161"/>
      <c r="I650" s="161"/>
      <c r="K650" s="161"/>
      <c r="Q650" s="143"/>
      <c r="R650" s="143"/>
      <c r="S650" s="143"/>
      <c r="T650" s="140"/>
      <c r="U650" s="140"/>
      <c r="V650" s="140"/>
      <c r="W650" s="140"/>
      <c r="X650" s="140"/>
      <c r="Y650" s="140"/>
      <c r="Z650" s="140"/>
    </row>
    <row r="651" spans="6:26" s="141" customFormat="1">
      <c r="F651" s="161"/>
      <c r="G651" s="161"/>
      <c r="I651" s="161"/>
      <c r="K651" s="161"/>
      <c r="Q651" s="143"/>
      <c r="R651" s="143"/>
      <c r="S651" s="143"/>
      <c r="T651" s="140"/>
      <c r="U651" s="140"/>
      <c r="V651" s="140"/>
      <c r="W651" s="140"/>
      <c r="X651" s="140"/>
      <c r="Y651" s="140"/>
      <c r="Z651" s="140"/>
    </row>
    <row r="652" spans="6:26" s="141" customFormat="1">
      <c r="F652" s="161"/>
      <c r="G652" s="161"/>
      <c r="I652" s="161"/>
      <c r="K652" s="161"/>
      <c r="Q652" s="143"/>
      <c r="R652" s="143"/>
      <c r="S652" s="143"/>
      <c r="T652" s="140"/>
      <c r="U652" s="140"/>
      <c r="V652" s="140"/>
      <c r="W652" s="140"/>
      <c r="X652" s="140"/>
      <c r="Y652" s="140"/>
      <c r="Z652" s="140"/>
    </row>
    <row r="653" spans="6:26" s="141" customFormat="1">
      <c r="F653" s="161"/>
      <c r="G653" s="161"/>
      <c r="I653" s="161"/>
      <c r="K653" s="161"/>
      <c r="Q653" s="143"/>
      <c r="R653" s="143"/>
      <c r="S653" s="143"/>
      <c r="T653" s="140"/>
      <c r="U653" s="140"/>
      <c r="V653" s="140"/>
      <c r="W653" s="140"/>
      <c r="X653" s="140"/>
      <c r="Y653" s="140"/>
      <c r="Z653" s="140"/>
    </row>
    <row r="654" spans="6:26" s="141" customFormat="1">
      <c r="F654" s="161"/>
      <c r="G654" s="161"/>
      <c r="I654" s="161"/>
      <c r="K654" s="161"/>
      <c r="Q654" s="143"/>
      <c r="R654" s="143"/>
      <c r="S654" s="143"/>
      <c r="T654" s="140"/>
      <c r="U654" s="140"/>
      <c r="V654" s="140"/>
      <c r="W654" s="140"/>
      <c r="X654" s="140"/>
      <c r="Y654" s="140"/>
      <c r="Z654" s="140"/>
    </row>
    <row r="655" spans="6:26" s="141" customFormat="1">
      <c r="F655" s="161"/>
      <c r="G655" s="161"/>
      <c r="I655" s="161"/>
      <c r="K655" s="161"/>
      <c r="Q655" s="143"/>
      <c r="R655" s="143"/>
      <c r="S655" s="143"/>
      <c r="T655" s="140"/>
      <c r="U655" s="140"/>
      <c r="V655" s="140"/>
      <c r="W655" s="140"/>
      <c r="X655" s="140"/>
      <c r="Y655" s="140"/>
      <c r="Z655" s="140"/>
    </row>
    <row r="656" spans="6:26" s="141" customFormat="1">
      <c r="F656" s="161"/>
      <c r="G656" s="161"/>
      <c r="I656" s="161"/>
      <c r="K656" s="161"/>
      <c r="Q656" s="143"/>
      <c r="R656" s="143"/>
      <c r="S656" s="143"/>
      <c r="T656" s="140"/>
      <c r="U656" s="140"/>
      <c r="V656" s="140"/>
      <c r="W656" s="140"/>
      <c r="X656" s="140"/>
      <c r="Y656" s="140"/>
      <c r="Z656" s="140"/>
    </row>
    <row r="657" spans="6:26" s="141" customFormat="1">
      <c r="F657" s="161"/>
      <c r="G657" s="161"/>
      <c r="I657" s="161"/>
      <c r="K657" s="161"/>
      <c r="Q657" s="143"/>
      <c r="R657" s="143"/>
      <c r="S657" s="143"/>
      <c r="T657" s="140"/>
      <c r="U657" s="140"/>
      <c r="V657" s="140"/>
      <c r="W657" s="140"/>
      <c r="X657" s="140"/>
      <c r="Y657" s="140"/>
      <c r="Z657" s="140"/>
    </row>
    <row r="658" spans="6:26" s="141" customFormat="1">
      <c r="F658" s="161"/>
      <c r="G658" s="161"/>
      <c r="I658" s="161"/>
      <c r="K658" s="161"/>
      <c r="Q658" s="143"/>
      <c r="R658" s="143"/>
      <c r="S658" s="143"/>
      <c r="T658" s="140"/>
      <c r="U658" s="140"/>
      <c r="V658" s="140"/>
      <c r="W658" s="140"/>
      <c r="X658" s="140"/>
      <c r="Y658" s="140"/>
      <c r="Z658" s="140"/>
    </row>
    <row r="659" spans="6:26" s="141" customFormat="1">
      <c r="F659" s="161"/>
      <c r="G659" s="161"/>
      <c r="I659" s="161"/>
      <c r="K659" s="161"/>
      <c r="Q659" s="143"/>
      <c r="R659" s="143"/>
      <c r="S659" s="143"/>
      <c r="T659" s="140"/>
      <c r="U659" s="140"/>
      <c r="V659" s="140"/>
      <c r="W659" s="140"/>
      <c r="X659" s="140"/>
      <c r="Y659" s="140"/>
      <c r="Z659" s="140"/>
    </row>
    <row r="660" spans="6:26" s="141" customFormat="1">
      <c r="F660" s="161"/>
      <c r="G660" s="161"/>
      <c r="I660" s="161"/>
      <c r="K660" s="161"/>
      <c r="Q660" s="143"/>
      <c r="R660" s="143"/>
      <c r="S660" s="143"/>
      <c r="T660" s="140"/>
      <c r="U660" s="140"/>
      <c r="V660" s="140"/>
      <c r="W660" s="140"/>
      <c r="X660" s="140"/>
      <c r="Y660" s="140"/>
      <c r="Z660" s="140"/>
    </row>
    <row r="661" spans="6:26" s="141" customFormat="1">
      <c r="F661" s="161"/>
      <c r="G661" s="161"/>
      <c r="I661" s="161"/>
      <c r="K661" s="161"/>
      <c r="Q661" s="143"/>
      <c r="R661" s="143"/>
      <c r="S661" s="143"/>
      <c r="T661" s="140"/>
      <c r="U661" s="140"/>
      <c r="V661" s="140"/>
      <c r="W661" s="140"/>
      <c r="X661" s="140"/>
      <c r="Y661" s="140"/>
      <c r="Z661" s="140"/>
    </row>
    <row r="662" spans="6:26" s="141" customFormat="1">
      <c r="F662" s="161"/>
      <c r="G662" s="161"/>
      <c r="I662" s="161"/>
      <c r="K662" s="161"/>
      <c r="Q662" s="143"/>
      <c r="R662" s="143"/>
      <c r="S662" s="143"/>
      <c r="T662" s="140"/>
      <c r="U662" s="140"/>
      <c r="V662" s="140"/>
      <c r="W662" s="140"/>
      <c r="X662" s="140"/>
      <c r="Y662" s="140"/>
      <c r="Z662" s="140"/>
    </row>
    <row r="663" spans="6:26" s="141" customFormat="1">
      <c r="F663" s="161"/>
      <c r="G663" s="161"/>
      <c r="I663" s="161"/>
      <c r="K663" s="161"/>
      <c r="Q663" s="143"/>
      <c r="R663" s="143"/>
      <c r="S663" s="143"/>
      <c r="T663" s="140"/>
      <c r="U663" s="140"/>
      <c r="V663" s="140"/>
      <c r="W663" s="140"/>
      <c r="X663" s="140"/>
      <c r="Y663" s="140"/>
      <c r="Z663" s="140"/>
    </row>
    <row r="664" spans="6:26" s="141" customFormat="1">
      <c r="F664" s="161"/>
      <c r="G664" s="161"/>
      <c r="I664" s="161"/>
      <c r="K664" s="161"/>
      <c r="Q664" s="143"/>
      <c r="R664" s="143"/>
      <c r="S664" s="143"/>
      <c r="T664" s="140"/>
      <c r="U664" s="140"/>
      <c r="V664" s="140"/>
      <c r="W664" s="140"/>
      <c r="X664" s="140"/>
      <c r="Y664" s="140"/>
      <c r="Z664" s="140"/>
    </row>
    <row r="665" spans="6:26" s="141" customFormat="1">
      <c r="F665" s="161"/>
      <c r="G665" s="161"/>
      <c r="I665" s="161"/>
      <c r="K665" s="161"/>
      <c r="Q665" s="143"/>
      <c r="R665" s="143"/>
      <c r="S665" s="143"/>
      <c r="T665" s="140"/>
      <c r="U665" s="140"/>
      <c r="V665" s="140"/>
      <c r="W665" s="140"/>
      <c r="X665" s="140"/>
      <c r="Y665" s="140"/>
      <c r="Z665" s="140"/>
    </row>
    <row r="666" spans="6:26" s="141" customFormat="1">
      <c r="F666" s="161"/>
      <c r="G666" s="161"/>
      <c r="I666" s="161"/>
      <c r="K666" s="161"/>
      <c r="Q666" s="143"/>
      <c r="R666" s="143"/>
      <c r="S666" s="143"/>
      <c r="T666" s="140"/>
      <c r="U666" s="140"/>
      <c r="V666" s="140"/>
      <c r="W666" s="140"/>
      <c r="X666" s="140"/>
      <c r="Y666" s="140"/>
      <c r="Z666" s="140"/>
    </row>
    <row r="667" spans="6:26" s="141" customFormat="1">
      <c r="F667" s="161"/>
      <c r="G667" s="161"/>
      <c r="I667" s="161"/>
      <c r="K667" s="161"/>
      <c r="Q667" s="143"/>
      <c r="R667" s="143"/>
      <c r="S667" s="143"/>
      <c r="T667" s="140"/>
      <c r="U667" s="140"/>
      <c r="V667" s="140"/>
      <c r="W667" s="140"/>
      <c r="X667" s="140"/>
      <c r="Y667" s="140"/>
      <c r="Z667" s="140"/>
    </row>
    <row r="668" spans="6:26" s="141" customFormat="1">
      <c r="F668" s="161"/>
      <c r="G668" s="161"/>
      <c r="I668" s="161"/>
      <c r="K668" s="161"/>
      <c r="Q668" s="143"/>
      <c r="R668" s="143"/>
      <c r="S668" s="143"/>
      <c r="T668" s="140"/>
      <c r="U668" s="140"/>
      <c r="V668" s="140"/>
      <c r="W668" s="140"/>
      <c r="X668" s="140"/>
      <c r="Y668" s="140"/>
      <c r="Z668" s="140"/>
    </row>
    <row r="669" spans="6:26" s="141" customFormat="1">
      <c r="F669" s="161"/>
      <c r="G669" s="161"/>
      <c r="I669" s="161"/>
      <c r="K669" s="161"/>
      <c r="Q669" s="143"/>
      <c r="R669" s="143"/>
      <c r="S669" s="143"/>
      <c r="T669" s="140"/>
      <c r="U669" s="140"/>
      <c r="V669" s="140"/>
      <c r="W669" s="140"/>
      <c r="X669" s="140"/>
      <c r="Y669" s="140"/>
      <c r="Z669" s="140"/>
    </row>
    <row r="670" spans="6:26" s="141" customFormat="1">
      <c r="F670" s="161"/>
      <c r="G670" s="161"/>
      <c r="I670" s="161"/>
      <c r="K670" s="161"/>
      <c r="Q670" s="143"/>
      <c r="R670" s="143"/>
      <c r="S670" s="143"/>
      <c r="T670" s="140"/>
      <c r="U670" s="140"/>
      <c r="V670" s="140"/>
      <c r="W670" s="140"/>
      <c r="X670" s="140"/>
      <c r="Y670" s="140"/>
      <c r="Z670" s="140"/>
    </row>
    <row r="671" spans="6:26" s="141" customFormat="1">
      <c r="F671" s="161"/>
      <c r="G671" s="161"/>
      <c r="I671" s="161"/>
      <c r="K671" s="161"/>
      <c r="Q671" s="143"/>
      <c r="R671" s="143"/>
      <c r="S671" s="143"/>
      <c r="T671" s="140"/>
      <c r="U671" s="140"/>
      <c r="V671" s="140"/>
      <c r="W671" s="140"/>
      <c r="X671" s="140"/>
      <c r="Y671" s="140"/>
      <c r="Z671" s="140"/>
    </row>
    <row r="672" spans="6:26" s="141" customFormat="1">
      <c r="F672" s="161"/>
      <c r="G672" s="161"/>
      <c r="I672" s="161"/>
      <c r="K672" s="161"/>
      <c r="Q672" s="143"/>
      <c r="R672" s="143"/>
      <c r="S672" s="143"/>
      <c r="T672" s="140"/>
      <c r="U672" s="140"/>
      <c r="V672" s="140"/>
      <c r="W672" s="140"/>
      <c r="X672" s="140"/>
      <c r="Y672" s="140"/>
      <c r="Z672" s="140"/>
    </row>
    <row r="673" spans="6:26" s="141" customFormat="1">
      <c r="F673" s="161"/>
      <c r="G673" s="161"/>
      <c r="I673" s="161"/>
      <c r="K673" s="161"/>
      <c r="Q673" s="143"/>
      <c r="R673" s="143"/>
      <c r="S673" s="143"/>
      <c r="T673" s="140"/>
      <c r="U673" s="140"/>
      <c r="V673" s="140"/>
      <c r="W673" s="140"/>
      <c r="X673" s="140"/>
      <c r="Y673" s="140"/>
      <c r="Z673" s="140"/>
    </row>
    <row r="674" spans="6:26" s="141" customFormat="1">
      <c r="F674" s="161"/>
      <c r="G674" s="161"/>
      <c r="I674" s="161"/>
      <c r="K674" s="161"/>
      <c r="Q674" s="143"/>
      <c r="R674" s="143"/>
      <c r="S674" s="143"/>
      <c r="T674" s="140"/>
      <c r="U674" s="140"/>
      <c r="V674" s="140"/>
      <c r="W674" s="140"/>
      <c r="X674" s="140"/>
      <c r="Y674" s="140"/>
      <c r="Z674" s="140"/>
    </row>
    <row r="675" spans="6:26" s="141" customFormat="1">
      <c r="F675" s="161"/>
      <c r="G675" s="161"/>
      <c r="I675" s="161"/>
      <c r="K675" s="161"/>
      <c r="Q675" s="143"/>
      <c r="R675" s="143"/>
      <c r="S675" s="143"/>
      <c r="T675" s="140"/>
      <c r="U675" s="140"/>
      <c r="V675" s="140"/>
      <c r="W675" s="140"/>
      <c r="X675" s="140"/>
      <c r="Y675" s="140"/>
      <c r="Z675" s="140"/>
    </row>
    <row r="676" spans="6:26" s="141" customFormat="1">
      <c r="F676" s="161"/>
      <c r="G676" s="161"/>
      <c r="I676" s="161"/>
      <c r="K676" s="161"/>
      <c r="Q676" s="143"/>
      <c r="R676" s="143"/>
      <c r="S676" s="143"/>
      <c r="T676" s="140"/>
      <c r="U676" s="140"/>
      <c r="V676" s="140"/>
      <c r="W676" s="140"/>
      <c r="X676" s="140"/>
      <c r="Y676" s="140"/>
      <c r="Z676" s="140"/>
    </row>
    <row r="677" spans="6:26" s="141" customFormat="1">
      <c r="F677" s="161"/>
      <c r="G677" s="161"/>
      <c r="I677" s="161"/>
      <c r="K677" s="161"/>
      <c r="Q677" s="143"/>
      <c r="R677" s="143"/>
      <c r="S677" s="143"/>
      <c r="T677" s="140"/>
      <c r="U677" s="140"/>
      <c r="V677" s="140"/>
      <c r="W677" s="140"/>
      <c r="X677" s="140"/>
      <c r="Y677" s="140"/>
      <c r="Z677" s="140"/>
    </row>
    <row r="678" spans="6:26" s="141" customFormat="1">
      <c r="F678" s="161"/>
      <c r="G678" s="161"/>
      <c r="I678" s="161"/>
      <c r="K678" s="161"/>
      <c r="Q678" s="143"/>
      <c r="R678" s="143"/>
      <c r="S678" s="143"/>
      <c r="T678" s="140"/>
      <c r="U678" s="140"/>
      <c r="V678" s="140"/>
      <c r="W678" s="140"/>
      <c r="X678" s="140"/>
      <c r="Y678" s="140"/>
      <c r="Z678" s="140"/>
    </row>
    <row r="679" spans="6:26" s="141" customFormat="1">
      <c r="F679" s="161"/>
      <c r="G679" s="161"/>
      <c r="I679" s="161"/>
      <c r="K679" s="161"/>
      <c r="Q679" s="143"/>
      <c r="R679" s="143"/>
      <c r="S679" s="143"/>
      <c r="T679" s="140"/>
      <c r="U679" s="140"/>
      <c r="V679" s="140"/>
      <c r="W679" s="140"/>
      <c r="X679" s="140"/>
      <c r="Y679" s="140"/>
      <c r="Z679" s="140"/>
    </row>
    <row r="680" spans="6:26" s="141" customFormat="1">
      <c r="F680" s="161"/>
      <c r="G680" s="161"/>
      <c r="I680" s="161"/>
      <c r="K680" s="161"/>
      <c r="Q680" s="143"/>
      <c r="R680" s="143"/>
      <c r="S680" s="143"/>
      <c r="T680" s="140"/>
      <c r="U680" s="140"/>
      <c r="V680" s="140"/>
      <c r="W680" s="140"/>
      <c r="X680" s="140"/>
      <c r="Y680" s="140"/>
      <c r="Z680" s="140"/>
    </row>
    <row r="681" spans="6:26" s="141" customFormat="1">
      <c r="F681" s="161"/>
      <c r="G681" s="161"/>
      <c r="I681" s="161"/>
      <c r="K681" s="161"/>
      <c r="Q681" s="143"/>
      <c r="R681" s="143"/>
      <c r="S681" s="143"/>
      <c r="T681" s="140"/>
      <c r="U681" s="140"/>
      <c r="V681" s="140"/>
      <c r="W681" s="140"/>
      <c r="X681" s="140"/>
      <c r="Y681" s="140"/>
      <c r="Z681" s="140"/>
    </row>
    <row r="682" spans="6:26" s="141" customFormat="1">
      <c r="F682" s="161"/>
      <c r="G682" s="161"/>
      <c r="I682" s="161"/>
      <c r="K682" s="161"/>
      <c r="Q682" s="143"/>
      <c r="R682" s="143"/>
      <c r="S682" s="143"/>
      <c r="T682" s="140"/>
      <c r="U682" s="140"/>
      <c r="V682" s="140"/>
      <c r="W682" s="140"/>
      <c r="X682" s="140"/>
      <c r="Y682" s="140"/>
      <c r="Z682" s="140"/>
    </row>
    <row r="683" spans="6:26" s="141" customFormat="1">
      <c r="F683" s="161"/>
      <c r="G683" s="161"/>
      <c r="I683" s="161"/>
      <c r="K683" s="161"/>
      <c r="Q683" s="143"/>
      <c r="R683" s="143"/>
      <c r="S683" s="143"/>
      <c r="T683" s="140"/>
      <c r="U683" s="140"/>
      <c r="V683" s="140"/>
      <c r="W683" s="140"/>
      <c r="X683" s="140"/>
      <c r="Y683" s="140"/>
      <c r="Z683" s="140"/>
    </row>
    <row r="684" spans="6:26" s="141" customFormat="1">
      <c r="F684" s="161"/>
      <c r="G684" s="161"/>
      <c r="I684" s="161"/>
      <c r="K684" s="161"/>
      <c r="Q684" s="143"/>
      <c r="R684" s="143"/>
      <c r="S684" s="143"/>
      <c r="T684" s="140"/>
      <c r="U684" s="140"/>
      <c r="V684" s="140"/>
      <c r="W684" s="140"/>
      <c r="X684" s="140"/>
      <c r="Y684" s="140"/>
      <c r="Z684" s="140"/>
    </row>
    <row r="685" spans="6:26" s="141" customFormat="1">
      <c r="F685" s="161"/>
      <c r="G685" s="161"/>
      <c r="I685" s="161"/>
      <c r="K685" s="161"/>
      <c r="Q685" s="143"/>
      <c r="R685" s="143"/>
      <c r="S685" s="143"/>
      <c r="T685" s="140"/>
      <c r="U685" s="140"/>
      <c r="V685" s="140"/>
      <c r="W685" s="140"/>
      <c r="X685" s="140"/>
      <c r="Y685" s="140"/>
      <c r="Z685" s="140"/>
    </row>
    <row r="686" spans="6:26" s="141" customFormat="1">
      <c r="F686" s="161"/>
      <c r="G686" s="161"/>
      <c r="I686" s="161"/>
      <c r="K686" s="161"/>
      <c r="Q686" s="143"/>
      <c r="R686" s="143"/>
      <c r="S686" s="143"/>
      <c r="T686" s="140"/>
      <c r="U686" s="140"/>
      <c r="V686" s="140"/>
      <c r="W686" s="140"/>
      <c r="X686" s="140"/>
      <c r="Y686" s="140"/>
      <c r="Z686" s="140"/>
    </row>
    <row r="687" spans="6:26" s="141" customFormat="1">
      <c r="F687" s="161"/>
      <c r="G687" s="161"/>
      <c r="I687" s="161"/>
      <c r="K687" s="161"/>
      <c r="Q687" s="143"/>
      <c r="R687" s="143"/>
      <c r="S687" s="143"/>
      <c r="T687" s="140"/>
      <c r="U687" s="140"/>
      <c r="V687" s="140"/>
      <c r="W687" s="140"/>
      <c r="X687" s="140"/>
      <c r="Y687" s="140"/>
      <c r="Z687" s="140"/>
    </row>
    <row r="688" spans="6:26" s="141" customFormat="1">
      <c r="F688" s="161"/>
      <c r="G688" s="161"/>
      <c r="I688" s="161"/>
      <c r="K688" s="161"/>
      <c r="Q688" s="143"/>
      <c r="R688" s="143"/>
      <c r="S688" s="143"/>
      <c r="T688" s="140"/>
      <c r="U688" s="140"/>
      <c r="V688" s="140"/>
      <c r="W688" s="140"/>
      <c r="X688" s="140"/>
      <c r="Y688" s="140"/>
      <c r="Z688" s="140"/>
    </row>
    <row r="689" spans="6:26" s="141" customFormat="1">
      <c r="F689" s="161"/>
      <c r="G689" s="161"/>
      <c r="I689" s="161"/>
      <c r="K689" s="161"/>
      <c r="Q689" s="143"/>
      <c r="R689" s="143"/>
      <c r="S689" s="143"/>
      <c r="T689" s="140"/>
      <c r="U689" s="140"/>
      <c r="V689" s="140"/>
      <c r="W689" s="140"/>
      <c r="X689" s="140"/>
      <c r="Y689" s="140"/>
      <c r="Z689" s="140"/>
    </row>
    <row r="690" spans="6:26" s="141" customFormat="1">
      <c r="F690" s="161"/>
      <c r="G690" s="161"/>
      <c r="I690" s="161"/>
      <c r="K690" s="161"/>
      <c r="Q690" s="143"/>
      <c r="R690" s="143"/>
      <c r="S690" s="143"/>
      <c r="T690" s="140"/>
      <c r="U690" s="140"/>
      <c r="V690" s="140"/>
      <c r="W690" s="140"/>
      <c r="X690" s="140"/>
      <c r="Y690" s="140"/>
      <c r="Z690" s="140"/>
    </row>
    <row r="691" spans="6:26" s="141" customFormat="1">
      <c r="F691" s="161"/>
      <c r="G691" s="161"/>
      <c r="I691" s="161"/>
      <c r="K691" s="161"/>
      <c r="Q691" s="143"/>
      <c r="R691" s="143"/>
      <c r="S691" s="143"/>
      <c r="T691" s="140"/>
      <c r="U691" s="140"/>
      <c r="V691" s="140"/>
      <c r="W691" s="140"/>
      <c r="X691" s="140"/>
      <c r="Y691" s="140"/>
      <c r="Z691" s="140"/>
    </row>
    <row r="692" spans="6:26" s="141" customFormat="1">
      <c r="F692" s="161"/>
      <c r="G692" s="161"/>
      <c r="I692" s="161"/>
      <c r="K692" s="161"/>
      <c r="Q692" s="143"/>
      <c r="R692" s="143"/>
      <c r="S692" s="143"/>
      <c r="T692" s="140"/>
      <c r="U692" s="140"/>
      <c r="V692" s="140"/>
      <c r="W692" s="140"/>
      <c r="X692" s="140"/>
      <c r="Y692" s="140"/>
      <c r="Z692" s="140"/>
    </row>
    <row r="693" spans="6:26" s="141" customFormat="1">
      <c r="F693" s="161"/>
      <c r="G693" s="161"/>
      <c r="I693" s="161"/>
      <c r="K693" s="161"/>
      <c r="Q693" s="143"/>
      <c r="R693" s="143"/>
      <c r="S693" s="143"/>
      <c r="T693" s="140"/>
      <c r="U693" s="140"/>
      <c r="V693" s="140"/>
      <c r="W693" s="140"/>
      <c r="X693" s="140"/>
      <c r="Y693" s="140"/>
      <c r="Z693" s="140"/>
    </row>
    <row r="694" spans="6:26" s="141" customFormat="1">
      <c r="F694" s="161"/>
      <c r="G694" s="161"/>
      <c r="I694" s="161"/>
      <c r="K694" s="161"/>
      <c r="Q694" s="143"/>
      <c r="R694" s="143"/>
      <c r="S694" s="143"/>
      <c r="T694" s="140"/>
      <c r="U694" s="140"/>
      <c r="V694" s="140"/>
      <c r="W694" s="140"/>
      <c r="X694" s="140"/>
      <c r="Y694" s="140"/>
      <c r="Z694" s="140"/>
    </row>
    <row r="695" spans="6:26" s="141" customFormat="1">
      <c r="F695" s="161"/>
      <c r="G695" s="161"/>
      <c r="I695" s="161"/>
      <c r="K695" s="161"/>
      <c r="Q695" s="143"/>
      <c r="R695" s="143"/>
      <c r="S695" s="143"/>
      <c r="T695" s="140"/>
      <c r="U695" s="140"/>
      <c r="V695" s="140"/>
      <c r="W695" s="140"/>
      <c r="X695" s="140"/>
      <c r="Y695" s="140"/>
      <c r="Z695" s="140"/>
    </row>
    <row r="696" spans="6:26" s="141" customFormat="1">
      <c r="F696" s="161"/>
      <c r="G696" s="161"/>
      <c r="I696" s="161"/>
      <c r="K696" s="161"/>
      <c r="Q696" s="143"/>
      <c r="R696" s="143"/>
      <c r="S696" s="143"/>
      <c r="T696" s="140"/>
      <c r="U696" s="140"/>
      <c r="V696" s="140"/>
      <c r="W696" s="140"/>
      <c r="X696" s="140"/>
      <c r="Y696" s="140"/>
      <c r="Z696" s="140"/>
    </row>
    <row r="697" spans="6:26" s="141" customFormat="1">
      <c r="F697" s="161"/>
      <c r="G697" s="161"/>
      <c r="I697" s="161"/>
      <c r="K697" s="161"/>
      <c r="Q697" s="143"/>
      <c r="R697" s="143"/>
      <c r="S697" s="143"/>
      <c r="T697" s="140"/>
      <c r="U697" s="140"/>
      <c r="V697" s="140"/>
      <c r="W697" s="140"/>
      <c r="X697" s="140"/>
      <c r="Y697" s="140"/>
      <c r="Z697" s="140"/>
    </row>
    <row r="698" spans="6:26" s="141" customFormat="1">
      <c r="F698" s="161"/>
      <c r="G698" s="161"/>
      <c r="I698" s="161"/>
      <c r="K698" s="161"/>
      <c r="Q698" s="143"/>
      <c r="R698" s="143"/>
      <c r="S698" s="143"/>
      <c r="T698" s="140"/>
      <c r="U698" s="140"/>
      <c r="V698" s="140"/>
      <c r="W698" s="140"/>
      <c r="X698" s="140"/>
      <c r="Y698" s="140"/>
      <c r="Z698" s="140"/>
    </row>
    <row r="699" spans="6:26" s="141" customFormat="1">
      <c r="F699" s="161"/>
      <c r="G699" s="161"/>
      <c r="I699" s="161"/>
      <c r="K699" s="161"/>
      <c r="Q699" s="143"/>
      <c r="R699" s="143"/>
      <c r="S699" s="143"/>
      <c r="T699" s="140"/>
      <c r="U699" s="140"/>
      <c r="V699" s="140"/>
      <c r="W699" s="140"/>
      <c r="X699" s="140"/>
      <c r="Y699" s="140"/>
      <c r="Z699" s="140"/>
    </row>
    <row r="700" spans="6:26" s="141" customFormat="1">
      <c r="F700" s="161"/>
      <c r="G700" s="161"/>
      <c r="I700" s="161"/>
      <c r="K700" s="161"/>
      <c r="Q700" s="143"/>
      <c r="R700" s="143"/>
      <c r="S700" s="143"/>
      <c r="T700" s="140"/>
      <c r="U700" s="140"/>
      <c r="V700" s="140"/>
      <c r="W700" s="140"/>
      <c r="X700" s="140"/>
      <c r="Y700" s="140"/>
      <c r="Z700" s="140"/>
    </row>
    <row r="701" spans="6:26" s="141" customFormat="1">
      <c r="F701" s="161"/>
      <c r="G701" s="161"/>
      <c r="I701" s="161"/>
      <c r="K701" s="161"/>
      <c r="Q701" s="143"/>
      <c r="R701" s="143"/>
      <c r="S701" s="143"/>
      <c r="T701" s="140"/>
      <c r="U701" s="140"/>
      <c r="V701" s="140"/>
      <c r="W701" s="140"/>
      <c r="X701" s="140"/>
      <c r="Y701" s="140"/>
      <c r="Z701" s="140"/>
    </row>
    <row r="702" spans="6:26" s="141" customFormat="1">
      <c r="F702" s="161"/>
      <c r="G702" s="161"/>
      <c r="I702" s="161"/>
      <c r="K702" s="161"/>
      <c r="Q702" s="143"/>
      <c r="R702" s="143"/>
      <c r="S702" s="143"/>
      <c r="T702" s="140"/>
      <c r="U702" s="140"/>
      <c r="V702" s="140"/>
      <c r="W702" s="140"/>
      <c r="X702" s="140"/>
      <c r="Y702" s="140"/>
      <c r="Z702" s="140"/>
    </row>
    <row r="703" spans="6:26" s="141" customFormat="1">
      <c r="F703" s="161"/>
      <c r="G703" s="161"/>
      <c r="I703" s="161"/>
      <c r="K703" s="161"/>
      <c r="Q703" s="143"/>
      <c r="R703" s="143"/>
      <c r="S703" s="143"/>
      <c r="T703" s="140"/>
      <c r="U703" s="140"/>
      <c r="V703" s="140"/>
      <c r="W703" s="140"/>
      <c r="X703" s="140"/>
      <c r="Y703" s="140"/>
      <c r="Z703" s="140"/>
    </row>
    <row r="704" spans="6:26" s="141" customFormat="1">
      <c r="F704" s="161"/>
      <c r="G704" s="161"/>
      <c r="I704" s="161"/>
      <c r="K704" s="161"/>
      <c r="Q704" s="143"/>
      <c r="R704" s="143"/>
      <c r="S704" s="143"/>
      <c r="T704" s="140"/>
      <c r="U704" s="140"/>
      <c r="V704" s="140"/>
      <c r="W704" s="140"/>
      <c r="X704" s="140"/>
      <c r="Y704" s="140"/>
      <c r="Z704" s="140"/>
    </row>
    <row r="705" spans="6:26" s="141" customFormat="1">
      <c r="F705" s="161"/>
      <c r="G705" s="161"/>
      <c r="I705" s="161"/>
      <c r="K705" s="161"/>
      <c r="Q705" s="143"/>
      <c r="R705" s="143"/>
      <c r="S705" s="143"/>
      <c r="T705" s="140"/>
      <c r="U705" s="140"/>
      <c r="V705" s="140"/>
      <c r="W705" s="140"/>
      <c r="X705" s="140"/>
      <c r="Y705" s="140"/>
      <c r="Z705" s="140"/>
    </row>
    <row r="706" spans="6:26" s="141" customFormat="1">
      <c r="F706" s="161"/>
      <c r="G706" s="161"/>
      <c r="I706" s="161"/>
      <c r="K706" s="161"/>
      <c r="Q706" s="143"/>
      <c r="R706" s="143"/>
      <c r="S706" s="143"/>
      <c r="T706" s="140"/>
      <c r="U706" s="140"/>
      <c r="V706" s="140"/>
      <c r="W706" s="140"/>
      <c r="X706" s="140"/>
      <c r="Y706" s="140"/>
      <c r="Z706" s="140"/>
    </row>
    <row r="707" spans="6:26" s="141" customFormat="1">
      <c r="F707" s="161"/>
      <c r="G707" s="161"/>
      <c r="I707" s="161"/>
      <c r="K707" s="161"/>
      <c r="Q707" s="143"/>
      <c r="R707" s="143"/>
      <c r="S707" s="143"/>
      <c r="T707" s="140"/>
      <c r="U707" s="140"/>
      <c r="V707" s="140"/>
      <c r="W707" s="140"/>
      <c r="X707" s="140"/>
      <c r="Y707" s="140"/>
      <c r="Z707" s="140"/>
    </row>
    <row r="708" spans="6:26" s="141" customFormat="1">
      <c r="F708" s="161"/>
      <c r="G708" s="161"/>
      <c r="I708" s="161"/>
      <c r="K708" s="161"/>
      <c r="Q708" s="143"/>
      <c r="R708" s="143"/>
      <c r="S708" s="143"/>
      <c r="T708" s="140"/>
      <c r="U708" s="140"/>
      <c r="V708" s="140"/>
      <c r="W708" s="140"/>
      <c r="X708" s="140"/>
      <c r="Y708" s="140"/>
      <c r="Z708" s="140"/>
    </row>
    <row r="709" spans="6:26" s="141" customFormat="1">
      <c r="F709" s="161"/>
      <c r="G709" s="161"/>
      <c r="I709" s="161"/>
      <c r="K709" s="161"/>
      <c r="Q709" s="143"/>
      <c r="R709" s="143"/>
      <c r="S709" s="143"/>
      <c r="T709" s="140"/>
      <c r="U709" s="140"/>
      <c r="V709" s="140"/>
      <c r="W709" s="140"/>
      <c r="X709" s="140"/>
      <c r="Y709" s="140"/>
      <c r="Z709" s="140"/>
    </row>
    <row r="710" spans="6:26" s="141" customFormat="1">
      <c r="F710" s="161"/>
      <c r="G710" s="161"/>
      <c r="I710" s="161"/>
      <c r="K710" s="161"/>
      <c r="Q710" s="143"/>
      <c r="R710" s="143"/>
      <c r="S710" s="143"/>
      <c r="T710" s="140"/>
      <c r="U710" s="140"/>
      <c r="V710" s="140"/>
      <c r="W710" s="140"/>
      <c r="X710" s="140"/>
      <c r="Y710" s="140"/>
      <c r="Z710" s="140"/>
    </row>
    <row r="711" spans="6:26" s="141" customFormat="1">
      <c r="F711" s="161"/>
      <c r="G711" s="161"/>
      <c r="I711" s="161"/>
      <c r="K711" s="161"/>
      <c r="Q711" s="143"/>
      <c r="R711" s="143"/>
      <c r="S711" s="143"/>
      <c r="T711" s="140"/>
      <c r="U711" s="140"/>
      <c r="V711" s="140"/>
      <c r="W711" s="140"/>
      <c r="X711" s="140"/>
      <c r="Y711" s="140"/>
      <c r="Z711" s="140"/>
    </row>
    <row r="712" spans="6:26" s="141" customFormat="1">
      <c r="F712" s="161"/>
      <c r="G712" s="161"/>
      <c r="I712" s="161"/>
      <c r="K712" s="161"/>
      <c r="Q712" s="143"/>
      <c r="R712" s="143"/>
      <c r="S712" s="143"/>
      <c r="T712" s="140"/>
      <c r="U712" s="140"/>
      <c r="V712" s="140"/>
      <c r="W712" s="140"/>
      <c r="X712" s="140"/>
      <c r="Y712" s="140"/>
      <c r="Z712" s="140"/>
    </row>
    <row r="713" spans="6:26" s="141" customFormat="1">
      <c r="F713" s="161"/>
      <c r="G713" s="161"/>
      <c r="I713" s="161"/>
      <c r="K713" s="161"/>
      <c r="Q713" s="143"/>
      <c r="R713" s="143"/>
      <c r="S713" s="143"/>
      <c r="T713" s="140"/>
      <c r="U713" s="140"/>
      <c r="V713" s="140"/>
      <c r="W713" s="140"/>
      <c r="X713" s="140"/>
      <c r="Y713" s="140"/>
      <c r="Z713" s="140"/>
    </row>
    <row r="714" spans="6:26" s="141" customFormat="1">
      <c r="F714" s="161"/>
      <c r="G714" s="161"/>
      <c r="I714" s="161"/>
      <c r="K714" s="161"/>
      <c r="Q714" s="143"/>
      <c r="R714" s="143"/>
      <c r="S714" s="143"/>
      <c r="T714" s="140"/>
      <c r="U714" s="140"/>
      <c r="V714" s="140"/>
      <c r="W714" s="140"/>
      <c r="X714" s="140"/>
      <c r="Y714" s="140"/>
      <c r="Z714" s="140"/>
    </row>
    <row r="715" spans="6:26" s="141" customFormat="1">
      <c r="F715" s="161"/>
      <c r="G715" s="161"/>
      <c r="I715" s="161"/>
      <c r="K715" s="161"/>
      <c r="Q715" s="143"/>
      <c r="R715" s="143"/>
      <c r="S715" s="143"/>
      <c r="T715" s="140"/>
      <c r="U715" s="140"/>
      <c r="V715" s="140"/>
      <c r="W715" s="140"/>
      <c r="X715" s="140"/>
      <c r="Y715" s="140"/>
      <c r="Z715" s="140"/>
    </row>
    <row r="716" spans="6:26" s="141" customFormat="1">
      <c r="F716" s="161"/>
      <c r="G716" s="161"/>
      <c r="I716" s="161"/>
      <c r="K716" s="161"/>
      <c r="Q716" s="143"/>
      <c r="R716" s="143"/>
      <c r="S716" s="143"/>
      <c r="T716" s="140"/>
      <c r="U716" s="140"/>
      <c r="V716" s="140"/>
      <c r="W716" s="140"/>
      <c r="X716" s="140"/>
      <c r="Y716" s="140"/>
      <c r="Z716" s="140"/>
    </row>
    <row r="717" spans="6:26" s="141" customFormat="1">
      <c r="F717" s="161"/>
      <c r="G717" s="161"/>
      <c r="I717" s="161"/>
      <c r="K717" s="161"/>
      <c r="Q717" s="143"/>
      <c r="R717" s="143"/>
      <c r="S717" s="143"/>
      <c r="T717" s="140"/>
      <c r="U717" s="140"/>
      <c r="V717" s="140"/>
      <c r="W717" s="140"/>
      <c r="X717" s="140"/>
      <c r="Y717" s="140"/>
      <c r="Z717" s="140"/>
    </row>
    <row r="718" spans="6:26" s="141" customFormat="1">
      <c r="F718" s="161"/>
      <c r="G718" s="161"/>
      <c r="I718" s="161"/>
      <c r="K718" s="161"/>
      <c r="Q718" s="143"/>
      <c r="R718" s="143"/>
      <c r="S718" s="143"/>
      <c r="T718" s="140"/>
      <c r="U718" s="140"/>
      <c r="V718" s="140"/>
      <c r="W718" s="140"/>
      <c r="X718" s="140"/>
      <c r="Y718" s="140"/>
      <c r="Z718" s="140"/>
    </row>
    <row r="719" spans="6:26" s="141" customFormat="1">
      <c r="F719" s="161"/>
      <c r="G719" s="161"/>
      <c r="I719" s="161"/>
      <c r="K719" s="161"/>
      <c r="Q719" s="143"/>
      <c r="R719" s="143"/>
      <c r="S719" s="143"/>
      <c r="T719" s="140"/>
      <c r="U719" s="140"/>
      <c r="V719" s="140"/>
      <c r="W719" s="140"/>
      <c r="X719" s="140"/>
      <c r="Y719" s="140"/>
      <c r="Z719" s="140"/>
    </row>
    <row r="720" spans="6:26" s="141" customFormat="1">
      <c r="F720" s="161"/>
      <c r="G720" s="161"/>
      <c r="I720" s="161"/>
      <c r="K720" s="161"/>
      <c r="Q720" s="143"/>
      <c r="R720" s="143"/>
      <c r="S720" s="143"/>
      <c r="T720" s="140"/>
      <c r="U720" s="140"/>
      <c r="V720" s="140"/>
      <c r="W720" s="140"/>
      <c r="X720" s="140"/>
      <c r="Y720" s="140"/>
      <c r="Z720" s="140"/>
    </row>
    <row r="721" spans="6:26" s="141" customFormat="1">
      <c r="F721" s="161"/>
      <c r="G721" s="161"/>
      <c r="I721" s="161"/>
      <c r="K721" s="161"/>
      <c r="Q721" s="143"/>
      <c r="R721" s="143"/>
      <c r="S721" s="143"/>
      <c r="T721" s="140"/>
      <c r="U721" s="140"/>
      <c r="V721" s="140"/>
      <c r="W721" s="140"/>
      <c r="X721" s="140"/>
      <c r="Y721" s="140"/>
      <c r="Z721" s="140"/>
    </row>
    <row r="722" spans="6:26" s="141" customFormat="1">
      <c r="F722" s="161"/>
      <c r="G722" s="161"/>
      <c r="I722" s="161"/>
      <c r="K722" s="161"/>
      <c r="Q722" s="143"/>
      <c r="R722" s="143"/>
      <c r="S722" s="143"/>
      <c r="T722" s="140"/>
      <c r="U722" s="140"/>
      <c r="V722" s="140"/>
      <c r="W722" s="140"/>
      <c r="X722" s="140"/>
      <c r="Y722" s="140"/>
      <c r="Z722" s="140"/>
    </row>
    <row r="723" spans="6:26" s="141" customFormat="1">
      <c r="F723" s="161"/>
      <c r="G723" s="161"/>
      <c r="I723" s="161"/>
      <c r="K723" s="161"/>
      <c r="Q723" s="143"/>
      <c r="R723" s="143"/>
      <c r="S723" s="143"/>
      <c r="T723" s="140"/>
      <c r="U723" s="140"/>
      <c r="V723" s="140"/>
      <c r="W723" s="140"/>
      <c r="X723" s="140"/>
      <c r="Y723" s="140"/>
      <c r="Z723" s="140"/>
    </row>
    <row r="724" spans="6:26" s="141" customFormat="1">
      <c r="F724" s="161"/>
      <c r="G724" s="161"/>
      <c r="I724" s="161"/>
      <c r="K724" s="161"/>
      <c r="Q724" s="143"/>
      <c r="R724" s="143"/>
      <c r="S724" s="143"/>
      <c r="T724" s="140"/>
      <c r="U724" s="140"/>
      <c r="V724" s="140"/>
      <c r="W724" s="140"/>
      <c r="X724" s="140"/>
      <c r="Y724" s="140"/>
      <c r="Z724" s="140"/>
    </row>
    <row r="725" spans="6:26" s="141" customFormat="1">
      <c r="F725" s="161"/>
      <c r="G725" s="161"/>
      <c r="I725" s="161"/>
      <c r="K725" s="161"/>
      <c r="Q725" s="143"/>
      <c r="R725" s="143"/>
      <c r="S725" s="143"/>
      <c r="T725" s="140"/>
      <c r="U725" s="140"/>
      <c r="V725" s="140"/>
      <c r="W725" s="140"/>
      <c r="X725" s="140"/>
      <c r="Y725" s="140"/>
      <c r="Z725" s="140"/>
    </row>
    <row r="726" spans="6:26" s="141" customFormat="1">
      <c r="F726" s="161"/>
      <c r="G726" s="161"/>
      <c r="I726" s="161"/>
      <c r="K726" s="161"/>
      <c r="Q726" s="143"/>
      <c r="R726" s="143"/>
      <c r="S726" s="143"/>
      <c r="T726" s="140"/>
      <c r="U726" s="140"/>
      <c r="V726" s="140"/>
      <c r="W726" s="140"/>
      <c r="X726" s="140"/>
      <c r="Y726" s="140"/>
      <c r="Z726" s="140"/>
    </row>
    <row r="727" spans="6:26" s="141" customFormat="1">
      <c r="F727" s="161"/>
      <c r="G727" s="161"/>
      <c r="I727" s="161"/>
      <c r="K727" s="161"/>
      <c r="Q727" s="143"/>
      <c r="R727" s="143"/>
      <c r="S727" s="143"/>
      <c r="T727" s="140"/>
      <c r="U727" s="140"/>
      <c r="V727" s="140"/>
      <c r="W727" s="140"/>
      <c r="X727" s="140"/>
      <c r="Y727" s="140"/>
      <c r="Z727" s="140"/>
    </row>
    <row r="728" spans="6:26" s="141" customFormat="1">
      <c r="F728" s="161"/>
      <c r="G728" s="161"/>
      <c r="I728" s="161"/>
      <c r="K728" s="161"/>
      <c r="Q728" s="143"/>
      <c r="R728" s="143"/>
      <c r="S728" s="143"/>
      <c r="T728" s="140"/>
      <c r="U728" s="140"/>
      <c r="V728" s="140"/>
      <c r="W728" s="140"/>
      <c r="X728" s="140"/>
      <c r="Y728" s="140"/>
      <c r="Z728" s="140"/>
    </row>
    <row r="729" spans="6:26" s="141" customFormat="1">
      <c r="F729" s="161"/>
      <c r="G729" s="161"/>
      <c r="I729" s="161"/>
      <c r="K729" s="161"/>
      <c r="Q729" s="143"/>
      <c r="R729" s="143"/>
      <c r="S729" s="143"/>
      <c r="T729" s="140"/>
      <c r="U729" s="140"/>
      <c r="V729" s="140"/>
      <c r="W729" s="140"/>
      <c r="X729" s="140"/>
      <c r="Y729" s="140"/>
      <c r="Z729" s="140"/>
    </row>
    <row r="730" spans="6:26" s="141" customFormat="1">
      <c r="F730" s="161"/>
      <c r="G730" s="161"/>
      <c r="I730" s="161"/>
      <c r="K730" s="161"/>
      <c r="Q730" s="143"/>
      <c r="R730" s="143"/>
      <c r="S730" s="143"/>
      <c r="T730" s="140"/>
      <c r="U730" s="140"/>
      <c r="V730" s="140"/>
      <c r="W730" s="140"/>
      <c r="X730" s="140"/>
      <c r="Y730" s="140"/>
      <c r="Z730" s="140"/>
    </row>
    <row r="731" spans="6:26" s="141" customFormat="1">
      <c r="F731" s="161"/>
      <c r="G731" s="161"/>
      <c r="I731" s="161"/>
      <c r="K731" s="161"/>
      <c r="Q731" s="143"/>
      <c r="R731" s="143"/>
      <c r="S731" s="143"/>
      <c r="T731" s="140"/>
      <c r="U731" s="140"/>
      <c r="V731" s="140"/>
      <c r="W731" s="140"/>
      <c r="X731" s="140"/>
      <c r="Y731" s="140"/>
      <c r="Z731" s="140"/>
    </row>
    <row r="732" spans="6:26" s="141" customFormat="1">
      <c r="F732" s="161"/>
      <c r="G732" s="161"/>
      <c r="I732" s="161"/>
      <c r="K732" s="161"/>
      <c r="Q732" s="143"/>
      <c r="R732" s="143"/>
      <c r="S732" s="143"/>
      <c r="T732" s="140"/>
      <c r="U732" s="140"/>
      <c r="V732" s="140"/>
      <c r="W732" s="140"/>
      <c r="X732" s="140"/>
      <c r="Y732" s="140"/>
      <c r="Z732" s="140"/>
    </row>
    <row r="733" spans="6:26" s="141" customFormat="1">
      <c r="F733" s="161"/>
      <c r="G733" s="161"/>
      <c r="I733" s="161"/>
      <c r="K733" s="161"/>
      <c r="Q733" s="143"/>
      <c r="R733" s="143"/>
      <c r="S733" s="143"/>
      <c r="T733" s="140"/>
      <c r="U733" s="140"/>
      <c r="V733" s="140"/>
      <c r="W733" s="140"/>
      <c r="X733" s="140"/>
      <c r="Y733" s="140"/>
      <c r="Z733" s="140"/>
    </row>
    <row r="734" spans="6:26" s="141" customFormat="1">
      <c r="F734" s="161"/>
      <c r="G734" s="161"/>
      <c r="I734" s="161"/>
      <c r="K734" s="161"/>
      <c r="Q734" s="143"/>
      <c r="R734" s="143"/>
      <c r="S734" s="143"/>
      <c r="T734" s="140"/>
      <c r="U734" s="140"/>
      <c r="V734" s="140"/>
      <c r="W734" s="140"/>
      <c r="X734" s="140"/>
      <c r="Y734" s="140"/>
      <c r="Z734" s="140"/>
    </row>
    <row r="735" spans="6:26" s="141" customFormat="1">
      <c r="F735" s="161"/>
      <c r="G735" s="161"/>
      <c r="I735" s="161"/>
      <c r="K735" s="161"/>
      <c r="Q735" s="143"/>
      <c r="R735" s="143"/>
      <c r="S735" s="143"/>
      <c r="T735" s="140"/>
      <c r="U735" s="140"/>
      <c r="V735" s="140"/>
      <c r="W735" s="140"/>
      <c r="X735" s="140"/>
      <c r="Y735" s="140"/>
      <c r="Z735" s="140"/>
    </row>
    <row r="736" spans="6:26" s="141" customFormat="1">
      <c r="F736" s="161"/>
      <c r="G736" s="161"/>
      <c r="I736" s="161"/>
      <c r="K736" s="161"/>
      <c r="Q736" s="143"/>
      <c r="R736" s="143"/>
      <c r="S736" s="143"/>
      <c r="T736" s="140"/>
      <c r="U736" s="140"/>
      <c r="V736" s="140"/>
      <c r="W736" s="140"/>
      <c r="X736" s="140"/>
      <c r="Y736" s="140"/>
      <c r="Z736" s="140"/>
    </row>
    <row r="737" spans="6:26" s="141" customFormat="1">
      <c r="F737" s="161"/>
      <c r="G737" s="161"/>
      <c r="I737" s="161"/>
      <c r="K737" s="161"/>
      <c r="Q737" s="143"/>
      <c r="R737" s="143"/>
      <c r="S737" s="143"/>
      <c r="T737" s="140"/>
      <c r="U737" s="140"/>
      <c r="V737" s="140"/>
      <c r="W737" s="140"/>
      <c r="X737" s="140"/>
      <c r="Y737" s="140"/>
      <c r="Z737" s="140"/>
    </row>
    <row r="738" spans="6:26" s="141" customFormat="1">
      <c r="F738" s="161"/>
      <c r="G738" s="161"/>
      <c r="I738" s="161"/>
      <c r="K738" s="161"/>
      <c r="Q738" s="143"/>
      <c r="R738" s="143"/>
      <c r="S738" s="143"/>
      <c r="T738" s="140"/>
      <c r="U738" s="140"/>
      <c r="V738" s="140"/>
      <c r="W738" s="140"/>
      <c r="X738" s="140"/>
      <c r="Y738" s="140"/>
      <c r="Z738" s="140"/>
    </row>
    <row r="739" spans="6:26" s="141" customFormat="1">
      <c r="F739" s="161"/>
      <c r="G739" s="161"/>
      <c r="I739" s="161"/>
      <c r="K739" s="161"/>
      <c r="Q739" s="143"/>
      <c r="R739" s="143"/>
      <c r="S739" s="143"/>
      <c r="T739" s="140"/>
      <c r="U739" s="140"/>
      <c r="V739" s="140"/>
      <c r="W739" s="140"/>
      <c r="X739" s="140"/>
      <c r="Y739" s="140"/>
      <c r="Z739" s="140"/>
    </row>
    <row r="740" spans="6:26" s="141" customFormat="1">
      <c r="F740" s="161"/>
      <c r="G740" s="161"/>
      <c r="I740" s="161"/>
      <c r="K740" s="161"/>
      <c r="Q740" s="143"/>
      <c r="R740" s="143"/>
      <c r="S740" s="143"/>
      <c r="T740" s="140"/>
      <c r="U740" s="140"/>
      <c r="V740" s="140"/>
      <c r="W740" s="140"/>
      <c r="X740" s="140"/>
      <c r="Y740" s="140"/>
      <c r="Z740" s="140"/>
    </row>
    <row r="741" spans="6:26" s="141" customFormat="1">
      <c r="F741" s="161"/>
      <c r="G741" s="161"/>
      <c r="I741" s="161"/>
      <c r="K741" s="161"/>
      <c r="Q741" s="143"/>
      <c r="R741" s="143"/>
      <c r="S741" s="143"/>
      <c r="T741" s="140"/>
      <c r="U741" s="140"/>
      <c r="V741" s="140"/>
      <c r="W741" s="140"/>
      <c r="X741" s="140"/>
      <c r="Y741" s="140"/>
      <c r="Z741" s="140"/>
    </row>
    <row r="742" spans="6:26" s="141" customFormat="1">
      <c r="F742" s="161"/>
      <c r="G742" s="161"/>
      <c r="I742" s="161"/>
      <c r="K742" s="161"/>
      <c r="Q742" s="143"/>
      <c r="R742" s="143"/>
      <c r="S742" s="143"/>
      <c r="T742" s="140"/>
      <c r="U742" s="140"/>
      <c r="V742" s="140"/>
      <c r="W742" s="140"/>
      <c r="X742" s="140"/>
      <c r="Y742" s="140"/>
      <c r="Z742" s="140"/>
    </row>
    <row r="743" spans="6:26" s="141" customFormat="1">
      <c r="F743" s="161"/>
      <c r="G743" s="161"/>
      <c r="I743" s="161"/>
      <c r="K743" s="161"/>
      <c r="Q743" s="143"/>
      <c r="R743" s="143"/>
      <c r="S743" s="143"/>
      <c r="T743" s="140"/>
      <c r="U743" s="140"/>
      <c r="V743" s="140"/>
      <c r="W743" s="140"/>
      <c r="X743" s="140"/>
      <c r="Y743" s="140"/>
      <c r="Z743" s="140"/>
    </row>
    <row r="744" spans="6:26" s="141" customFormat="1">
      <c r="F744" s="161"/>
      <c r="G744" s="161"/>
      <c r="I744" s="161"/>
      <c r="K744" s="161"/>
      <c r="Q744" s="143"/>
      <c r="R744" s="143"/>
      <c r="S744" s="143"/>
      <c r="T744" s="140"/>
      <c r="U744" s="140"/>
      <c r="V744" s="140"/>
      <c r="W744" s="140"/>
      <c r="X744" s="140"/>
      <c r="Y744" s="140"/>
      <c r="Z744" s="140"/>
    </row>
    <row r="745" spans="6:26" s="141" customFormat="1">
      <c r="F745" s="161"/>
      <c r="G745" s="161"/>
      <c r="I745" s="161"/>
      <c r="K745" s="161"/>
      <c r="Q745" s="143"/>
      <c r="R745" s="143"/>
      <c r="S745" s="143"/>
      <c r="T745" s="140"/>
      <c r="U745" s="140"/>
      <c r="V745" s="140"/>
      <c r="W745" s="140"/>
      <c r="X745" s="140"/>
      <c r="Y745" s="140"/>
      <c r="Z745" s="140"/>
    </row>
    <row r="746" spans="6:26" s="141" customFormat="1">
      <c r="F746" s="161"/>
      <c r="G746" s="161"/>
      <c r="I746" s="161"/>
      <c r="K746" s="161"/>
      <c r="Q746" s="143"/>
      <c r="R746" s="143"/>
      <c r="S746" s="143"/>
      <c r="T746" s="140"/>
      <c r="U746" s="140"/>
      <c r="V746" s="140"/>
      <c r="W746" s="140"/>
      <c r="X746" s="140"/>
      <c r="Y746" s="140"/>
      <c r="Z746" s="140"/>
    </row>
    <row r="747" spans="6:26" s="141" customFormat="1">
      <c r="F747" s="161"/>
      <c r="G747" s="161"/>
      <c r="I747" s="161"/>
      <c r="K747" s="161"/>
      <c r="Q747" s="143"/>
      <c r="R747" s="143"/>
      <c r="S747" s="143"/>
      <c r="T747" s="140"/>
      <c r="U747" s="140"/>
      <c r="V747" s="140"/>
      <c r="W747" s="140"/>
      <c r="X747" s="140"/>
      <c r="Y747" s="140"/>
      <c r="Z747" s="140"/>
    </row>
    <row r="748" spans="6:26" s="141" customFormat="1">
      <c r="F748" s="161"/>
      <c r="G748" s="161"/>
      <c r="I748" s="161"/>
      <c r="K748" s="161"/>
      <c r="Q748" s="143"/>
      <c r="R748" s="143"/>
      <c r="S748" s="143"/>
      <c r="T748" s="140"/>
      <c r="U748" s="140"/>
      <c r="V748" s="140"/>
      <c r="W748" s="140"/>
      <c r="X748" s="140"/>
      <c r="Y748" s="140"/>
      <c r="Z748" s="140"/>
    </row>
    <row r="749" spans="6:26" s="141" customFormat="1">
      <c r="F749" s="161"/>
      <c r="G749" s="161"/>
      <c r="I749" s="161"/>
      <c r="K749" s="161"/>
      <c r="Q749" s="143"/>
      <c r="R749" s="143"/>
      <c r="S749" s="143"/>
      <c r="T749" s="140"/>
      <c r="U749" s="140"/>
      <c r="V749" s="140"/>
      <c r="W749" s="140"/>
      <c r="X749" s="140"/>
      <c r="Y749" s="140"/>
      <c r="Z749" s="140"/>
    </row>
    <row r="750" spans="6:26" s="141" customFormat="1">
      <c r="F750" s="161"/>
      <c r="G750" s="161"/>
      <c r="I750" s="161"/>
      <c r="K750" s="161"/>
      <c r="Q750" s="143"/>
      <c r="R750" s="143"/>
      <c r="S750" s="143"/>
      <c r="T750" s="140"/>
      <c r="U750" s="140"/>
      <c r="V750" s="140"/>
      <c r="W750" s="140"/>
      <c r="X750" s="140"/>
      <c r="Y750" s="140"/>
      <c r="Z750" s="140"/>
    </row>
    <row r="751" spans="6:26" s="141" customFormat="1">
      <c r="F751" s="161"/>
      <c r="G751" s="161"/>
      <c r="I751" s="161"/>
      <c r="K751" s="161"/>
      <c r="Q751" s="143"/>
      <c r="R751" s="143"/>
      <c r="S751" s="143"/>
      <c r="T751" s="140"/>
      <c r="U751" s="140"/>
      <c r="V751" s="140"/>
      <c r="W751" s="140"/>
      <c r="X751" s="140"/>
      <c r="Y751" s="140"/>
      <c r="Z751" s="140"/>
    </row>
    <row r="752" spans="6:26" s="141" customFormat="1">
      <c r="F752" s="161"/>
      <c r="G752" s="161"/>
      <c r="I752" s="161"/>
      <c r="K752" s="161"/>
      <c r="Q752" s="143"/>
      <c r="R752" s="143"/>
      <c r="S752" s="143"/>
      <c r="T752" s="140"/>
      <c r="U752" s="140"/>
      <c r="V752" s="140"/>
      <c r="W752" s="140"/>
      <c r="X752" s="140"/>
      <c r="Y752" s="140"/>
      <c r="Z752" s="140"/>
    </row>
    <row r="753" spans="6:26" s="141" customFormat="1">
      <c r="F753" s="161"/>
      <c r="G753" s="161"/>
      <c r="I753" s="161"/>
      <c r="K753" s="161"/>
      <c r="Q753" s="143"/>
      <c r="R753" s="143"/>
      <c r="S753" s="143"/>
      <c r="T753" s="140"/>
      <c r="U753" s="140"/>
      <c r="V753" s="140"/>
      <c r="W753" s="140"/>
      <c r="X753" s="140"/>
      <c r="Y753" s="140"/>
      <c r="Z753" s="140"/>
    </row>
    <row r="754" spans="6:26" s="141" customFormat="1">
      <c r="F754" s="161"/>
      <c r="G754" s="161"/>
      <c r="I754" s="161"/>
      <c r="K754" s="161"/>
      <c r="Q754" s="143"/>
      <c r="R754" s="143"/>
      <c r="S754" s="143"/>
      <c r="T754" s="140"/>
      <c r="U754" s="140"/>
      <c r="V754" s="140"/>
      <c r="W754" s="140"/>
      <c r="X754" s="140"/>
      <c r="Y754" s="140"/>
      <c r="Z754" s="140"/>
    </row>
    <row r="755" spans="6:26" s="141" customFormat="1">
      <c r="F755" s="161"/>
      <c r="G755" s="161"/>
      <c r="I755" s="161"/>
      <c r="K755" s="161"/>
      <c r="Q755" s="143"/>
      <c r="R755" s="143"/>
      <c r="S755" s="143"/>
      <c r="T755" s="140"/>
      <c r="U755" s="140"/>
      <c r="V755" s="140"/>
      <c r="W755" s="140"/>
      <c r="X755" s="140"/>
      <c r="Y755" s="140"/>
      <c r="Z755" s="140"/>
    </row>
    <row r="756" spans="6:26" s="141" customFormat="1">
      <c r="F756" s="161"/>
      <c r="G756" s="161"/>
      <c r="I756" s="161"/>
      <c r="K756" s="161"/>
      <c r="Q756" s="143"/>
      <c r="R756" s="143"/>
      <c r="S756" s="143"/>
      <c r="T756" s="140"/>
      <c r="U756" s="140"/>
      <c r="V756" s="140"/>
      <c r="W756" s="140"/>
      <c r="X756" s="140"/>
      <c r="Y756" s="140"/>
      <c r="Z756" s="140"/>
    </row>
    <row r="757" spans="6:26" s="141" customFormat="1">
      <c r="F757" s="161"/>
      <c r="G757" s="161"/>
      <c r="I757" s="161"/>
      <c r="K757" s="161"/>
      <c r="Q757" s="143"/>
      <c r="R757" s="143"/>
      <c r="S757" s="143"/>
      <c r="T757" s="140"/>
      <c r="U757" s="140"/>
      <c r="V757" s="140"/>
      <c r="W757" s="140"/>
      <c r="X757" s="140"/>
      <c r="Y757" s="140"/>
      <c r="Z757" s="140"/>
    </row>
    <row r="758" spans="6:26" s="141" customFormat="1">
      <c r="F758" s="161"/>
      <c r="G758" s="161"/>
      <c r="I758" s="161"/>
      <c r="K758" s="161"/>
      <c r="Q758" s="143"/>
      <c r="R758" s="143"/>
      <c r="S758" s="143"/>
      <c r="T758" s="140"/>
      <c r="U758" s="140"/>
      <c r="V758" s="140"/>
      <c r="W758" s="140"/>
      <c r="X758" s="140"/>
      <c r="Y758" s="140"/>
      <c r="Z758" s="140"/>
    </row>
    <row r="759" spans="6:26" s="141" customFormat="1">
      <c r="F759" s="161"/>
      <c r="G759" s="161"/>
      <c r="I759" s="161"/>
      <c r="K759" s="161"/>
      <c r="Q759" s="143"/>
      <c r="R759" s="143"/>
      <c r="S759" s="143"/>
      <c r="T759" s="140"/>
      <c r="U759" s="140"/>
      <c r="V759" s="140"/>
      <c r="W759" s="140"/>
      <c r="X759" s="140"/>
      <c r="Y759" s="140"/>
      <c r="Z759" s="140"/>
    </row>
    <row r="760" spans="6:26" s="141" customFormat="1">
      <c r="F760" s="161"/>
      <c r="G760" s="161"/>
      <c r="I760" s="161"/>
      <c r="K760" s="161"/>
      <c r="Q760" s="143"/>
      <c r="R760" s="143"/>
      <c r="S760" s="143"/>
      <c r="T760" s="140"/>
      <c r="U760" s="140"/>
      <c r="V760" s="140"/>
      <c r="W760" s="140"/>
      <c r="X760" s="140"/>
      <c r="Y760" s="140"/>
      <c r="Z760" s="140"/>
    </row>
    <row r="761" spans="6:26" s="141" customFormat="1">
      <c r="F761" s="161"/>
      <c r="G761" s="161"/>
      <c r="I761" s="161"/>
      <c r="K761" s="161"/>
      <c r="Q761" s="143"/>
      <c r="R761" s="143"/>
      <c r="S761" s="143"/>
      <c r="T761" s="140"/>
      <c r="U761" s="140"/>
      <c r="V761" s="140"/>
      <c r="W761" s="140"/>
      <c r="X761" s="140"/>
      <c r="Y761" s="140"/>
      <c r="Z761" s="140"/>
    </row>
    <row r="762" spans="6:26" s="141" customFormat="1">
      <c r="F762" s="161"/>
      <c r="G762" s="161"/>
      <c r="I762" s="161"/>
      <c r="K762" s="161"/>
      <c r="Q762" s="143"/>
      <c r="R762" s="143"/>
      <c r="S762" s="143"/>
      <c r="T762" s="140"/>
      <c r="U762" s="140"/>
      <c r="V762" s="140"/>
      <c r="W762" s="140"/>
      <c r="X762" s="140"/>
      <c r="Y762" s="140"/>
      <c r="Z762" s="140"/>
    </row>
    <row r="763" spans="6:26" s="141" customFormat="1">
      <c r="F763" s="161"/>
      <c r="G763" s="161"/>
      <c r="I763" s="161"/>
      <c r="K763" s="161"/>
      <c r="Q763" s="143"/>
      <c r="R763" s="143"/>
      <c r="S763" s="143"/>
      <c r="T763" s="140"/>
      <c r="U763" s="140"/>
      <c r="V763" s="140"/>
      <c r="W763" s="140"/>
      <c r="X763" s="140"/>
      <c r="Y763" s="140"/>
      <c r="Z763" s="140"/>
    </row>
    <row r="764" spans="6:26" s="141" customFormat="1">
      <c r="F764" s="161"/>
      <c r="G764" s="161"/>
      <c r="I764" s="161"/>
      <c r="K764" s="161"/>
      <c r="Q764" s="143"/>
      <c r="R764" s="143"/>
      <c r="S764" s="143"/>
      <c r="T764" s="140"/>
      <c r="U764" s="140"/>
      <c r="V764" s="140"/>
      <c r="W764" s="140"/>
      <c r="X764" s="140"/>
      <c r="Y764" s="140"/>
      <c r="Z764" s="140"/>
    </row>
    <row r="765" spans="6:26" s="141" customFormat="1">
      <c r="F765" s="161"/>
      <c r="G765" s="161"/>
      <c r="I765" s="161"/>
      <c r="K765" s="161"/>
      <c r="Q765" s="143"/>
      <c r="R765" s="143"/>
      <c r="S765" s="143"/>
      <c r="T765" s="140"/>
      <c r="U765" s="140"/>
      <c r="V765" s="140"/>
      <c r="W765" s="140"/>
      <c r="X765" s="140"/>
      <c r="Y765" s="140"/>
      <c r="Z765" s="140"/>
    </row>
    <row r="766" spans="6:26" s="141" customFormat="1">
      <c r="F766" s="161"/>
      <c r="G766" s="161"/>
      <c r="I766" s="161"/>
      <c r="K766" s="161"/>
      <c r="Q766" s="143"/>
      <c r="R766" s="143"/>
      <c r="S766" s="143"/>
      <c r="T766" s="140"/>
      <c r="U766" s="140"/>
      <c r="V766" s="140"/>
      <c r="W766" s="140"/>
      <c r="X766" s="140"/>
      <c r="Y766" s="140"/>
      <c r="Z766" s="140"/>
    </row>
    <row r="767" spans="6:26" s="141" customFormat="1">
      <c r="F767" s="161"/>
      <c r="G767" s="161"/>
      <c r="I767" s="161"/>
      <c r="K767" s="161"/>
      <c r="Q767" s="143"/>
      <c r="R767" s="143"/>
      <c r="S767" s="143"/>
      <c r="T767" s="140"/>
      <c r="U767" s="140"/>
      <c r="V767" s="140"/>
      <c r="W767" s="140"/>
      <c r="X767" s="140"/>
      <c r="Y767" s="140"/>
      <c r="Z767" s="140"/>
    </row>
    <row r="768" spans="6:26" s="141" customFormat="1">
      <c r="F768" s="161"/>
      <c r="G768" s="161"/>
      <c r="I768" s="161"/>
      <c r="K768" s="161"/>
      <c r="Q768" s="143"/>
      <c r="R768" s="143"/>
      <c r="S768" s="143"/>
      <c r="T768" s="140"/>
      <c r="U768" s="140"/>
      <c r="V768" s="140"/>
      <c r="W768" s="140"/>
      <c r="X768" s="140"/>
      <c r="Y768" s="140"/>
      <c r="Z768" s="140"/>
    </row>
    <row r="769" spans="6:26" s="141" customFormat="1">
      <c r="F769" s="161"/>
      <c r="G769" s="161"/>
      <c r="I769" s="161"/>
      <c r="K769" s="161"/>
      <c r="Q769" s="143"/>
      <c r="R769" s="143"/>
      <c r="S769" s="143"/>
      <c r="T769" s="140"/>
      <c r="U769" s="140"/>
      <c r="V769" s="140"/>
      <c r="W769" s="140"/>
      <c r="X769" s="140"/>
      <c r="Y769" s="140"/>
      <c r="Z769" s="140"/>
    </row>
    <row r="770" spans="6:26" s="141" customFormat="1">
      <c r="F770" s="161"/>
      <c r="G770" s="161"/>
      <c r="I770" s="161"/>
      <c r="K770" s="161"/>
      <c r="Q770" s="143"/>
      <c r="R770" s="143"/>
      <c r="S770" s="143"/>
      <c r="T770" s="140"/>
      <c r="U770" s="140"/>
      <c r="V770" s="140"/>
      <c r="W770" s="140"/>
      <c r="X770" s="140"/>
      <c r="Y770" s="140"/>
      <c r="Z770" s="140"/>
    </row>
    <row r="771" spans="6:26" s="141" customFormat="1">
      <c r="F771" s="161"/>
      <c r="G771" s="161"/>
      <c r="I771" s="161"/>
      <c r="K771" s="161"/>
      <c r="Q771" s="143"/>
      <c r="R771" s="143"/>
      <c r="S771" s="143"/>
      <c r="T771" s="140"/>
      <c r="U771" s="140"/>
      <c r="V771" s="140"/>
      <c r="W771" s="140"/>
      <c r="X771" s="140"/>
      <c r="Y771" s="140"/>
      <c r="Z771" s="140"/>
    </row>
    <row r="772" spans="6:26" s="141" customFormat="1">
      <c r="F772" s="161"/>
      <c r="G772" s="161"/>
      <c r="I772" s="161"/>
      <c r="K772" s="161"/>
      <c r="Q772" s="143"/>
      <c r="R772" s="143"/>
      <c r="S772" s="143"/>
      <c r="T772" s="140"/>
      <c r="U772" s="140"/>
      <c r="V772" s="140"/>
      <c r="W772" s="140"/>
      <c r="X772" s="140"/>
      <c r="Y772" s="140"/>
      <c r="Z772" s="140"/>
    </row>
    <row r="773" spans="6:26" s="141" customFormat="1">
      <c r="F773" s="161"/>
      <c r="G773" s="161"/>
      <c r="I773" s="161"/>
      <c r="K773" s="161"/>
      <c r="Q773" s="143"/>
      <c r="R773" s="143"/>
      <c r="S773" s="143"/>
      <c r="T773" s="140"/>
      <c r="U773" s="140"/>
      <c r="V773" s="140"/>
      <c r="W773" s="140"/>
      <c r="X773" s="140"/>
      <c r="Y773" s="140"/>
      <c r="Z773" s="140"/>
    </row>
    <row r="774" spans="6:26" s="141" customFormat="1">
      <c r="F774" s="161"/>
      <c r="G774" s="161"/>
      <c r="I774" s="161"/>
      <c r="K774" s="161"/>
      <c r="Q774" s="143"/>
      <c r="R774" s="143"/>
      <c r="S774" s="143"/>
      <c r="T774" s="140"/>
      <c r="U774" s="140"/>
      <c r="V774" s="140"/>
      <c r="W774" s="140"/>
      <c r="X774" s="140"/>
      <c r="Y774" s="140"/>
      <c r="Z774" s="140"/>
    </row>
    <row r="775" spans="6:26" s="141" customFormat="1">
      <c r="F775" s="161"/>
      <c r="G775" s="161"/>
      <c r="I775" s="161"/>
      <c r="K775" s="161"/>
      <c r="Q775" s="143"/>
      <c r="R775" s="143"/>
      <c r="S775" s="143"/>
      <c r="T775" s="140"/>
      <c r="U775" s="140"/>
      <c r="V775" s="140"/>
      <c r="W775" s="140"/>
      <c r="X775" s="140"/>
      <c r="Y775" s="140"/>
      <c r="Z775" s="140"/>
    </row>
    <row r="776" spans="6:26" s="141" customFormat="1">
      <c r="F776" s="161"/>
      <c r="G776" s="161"/>
      <c r="I776" s="161"/>
      <c r="K776" s="161"/>
      <c r="Q776" s="143"/>
      <c r="R776" s="143"/>
      <c r="S776" s="143"/>
      <c r="T776" s="140"/>
      <c r="U776" s="140"/>
      <c r="V776" s="140"/>
      <c r="W776" s="140"/>
      <c r="X776" s="140"/>
      <c r="Y776" s="140"/>
      <c r="Z776" s="140"/>
    </row>
    <row r="777" spans="6:26" s="141" customFormat="1">
      <c r="F777" s="161"/>
      <c r="G777" s="161"/>
      <c r="I777" s="161"/>
      <c r="K777" s="161"/>
      <c r="Q777" s="143"/>
      <c r="R777" s="143"/>
      <c r="S777" s="143"/>
      <c r="T777" s="140"/>
      <c r="U777" s="140"/>
      <c r="V777" s="140"/>
      <c r="W777" s="140"/>
      <c r="X777" s="140"/>
      <c r="Y777" s="140"/>
      <c r="Z777" s="140"/>
    </row>
    <row r="778" spans="6:26" s="141" customFormat="1">
      <c r="F778" s="161"/>
      <c r="G778" s="161"/>
      <c r="I778" s="161"/>
      <c r="K778" s="161"/>
      <c r="Q778" s="143"/>
      <c r="R778" s="143"/>
      <c r="S778" s="143"/>
      <c r="T778" s="140"/>
      <c r="U778" s="140"/>
      <c r="V778" s="140"/>
      <c r="W778" s="140"/>
      <c r="X778" s="140"/>
      <c r="Y778" s="140"/>
      <c r="Z778" s="140"/>
    </row>
    <row r="779" spans="6:26" s="141" customFormat="1">
      <c r="F779" s="161"/>
      <c r="G779" s="161"/>
      <c r="I779" s="161"/>
      <c r="K779" s="161"/>
      <c r="Q779" s="143"/>
      <c r="R779" s="143"/>
      <c r="S779" s="143"/>
      <c r="T779" s="140"/>
      <c r="U779" s="140"/>
      <c r="V779" s="140"/>
      <c r="W779" s="140"/>
      <c r="X779" s="140"/>
      <c r="Y779" s="140"/>
      <c r="Z779" s="140"/>
    </row>
    <row r="780" spans="6:26" s="141" customFormat="1">
      <c r="F780" s="161"/>
      <c r="G780" s="161"/>
      <c r="I780" s="161"/>
      <c r="K780" s="161"/>
      <c r="Q780" s="143"/>
      <c r="R780" s="143"/>
      <c r="S780" s="143"/>
      <c r="T780" s="140"/>
      <c r="U780" s="140"/>
      <c r="V780" s="140"/>
      <c r="W780" s="140"/>
      <c r="X780" s="140"/>
      <c r="Y780" s="140"/>
      <c r="Z780" s="140"/>
    </row>
    <row r="781" spans="6:26" s="141" customFormat="1">
      <c r="F781" s="161"/>
      <c r="G781" s="161"/>
      <c r="I781" s="161"/>
      <c r="K781" s="161"/>
      <c r="Q781" s="143"/>
      <c r="R781" s="143"/>
      <c r="S781" s="143"/>
      <c r="T781" s="140"/>
      <c r="U781" s="140"/>
      <c r="V781" s="140"/>
      <c r="W781" s="140"/>
      <c r="X781" s="140"/>
      <c r="Y781" s="140"/>
      <c r="Z781" s="140"/>
    </row>
    <row r="782" spans="6:26" s="141" customFormat="1">
      <c r="F782" s="161"/>
      <c r="G782" s="161"/>
      <c r="I782" s="161"/>
      <c r="K782" s="161"/>
      <c r="Q782" s="143"/>
      <c r="R782" s="143"/>
      <c r="S782" s="143"/>
      <c r="T782" s="140"/>
      <c r="U782" s="140"/>
      <c r="V782" s="140"/>
      <c r="W782" s="140"/>
      <c r="X782" s="140"/>
      <c r="Y782" s="140"/>
      <c r="Z782" s="140"/>
    </row>
    <row r="783" spans="6:26" s="141" customFormat="1">
      <c r="F783" s="161"/>
      <c r="G783" s="161"/>
      <c r="I783" s="161"/>
      <c r="K783" s="161"/>
      <c r="Q783" s="143"/>
      <c r="R783" s="143"/>
      <c r="S783" s="143"/>
      <c r="T783" s="140"/>
      <c r="U783" s="140"/>
      <c r="V783" s="140"/>
      <c r="W783" s="140"/>
      <c r="X783" s="140"/>
      <c r="Y783" s="140"/>
      <c r="Z783" s="140"/>
    </row>
    <row r="784" spans="6:26" s="141" customFormat="1">
      <c r="F784" s="161"/>
      <c r="G784" s="161"/>
      <c r="I784" s="161"/>
      <c r="K784" s="161"/>
      <c r="Q784" s="143"/>
      <c r="R784" s="143"/>
      <c r="S784" s="143"/>
      <c r="T784" s="140"/>
      <c r="U784" s="140"/>
      <c r="V784" s="140"/>
      <c r="W784" s="140"/>
      <c r="X784" s="140"/>
      <c r="Y784" s="140"/>
      <c r="Z784" s="140"/>
    </row>
    <row r="785" spans="6:26" s="141" customFormat="1">
      <c r="F785" s="161"/>
      <c r="G785" s="161"/>
      <c r="I785" s="161"/>
      <c r="K785" s="161"/>
      <c r="Q785" s="143"/>
      <c r="R785" s="143"/>
      <c r="S785" s="143"/>
      <c r="T785" s="140"/>
      <c r="U785" s="140"/>
      <c r="V785" s="140"/>
      <c r="W785" s="140"/>
      <c r="X785" s="140"/>
      <c r="Y785" s="140"/>
      <c r="Z785" s="140"/>
    </row>
    <row r="786" spans="6:26" s="141" customFormat="1">
      <c r="F786" s="161"/>
      <c r="G786" s="161"/>
      <c r="I786" s="161"/>
      <c r="K786" s="161"/>
      <c r="Q786" s="143"/>
      <c r="R786" s="143"/>
      <c r="S786" s="143"/>
      <c r="T786" s="140"/>
      <c r="U786" s="140"/>
      <c r="V786" s="140"/>
      <c r="W786" s="140"/>
      <c r="X786" s="140"/>
      <c r="Y786" s="140"/>
      <c r="Z786" s="140"/>
    </row>
    <row r="787" spans="6:26" s="141" customFormat="1">
      <c r="F787" s="161"/>
      <c r="G787" s="161"/>
      <c r="I787" s="161"/>
      <c r="K787" s="161"/>
      <c r="Q787" s="143"/>
      <c r="R787" s="143"/>
      <c r="S787" s="143"/>
      <c r="T787" s="140"/>
      <c r="U787" s="140"/>
      <c r="V787" s="140"/>
      <c r="W787" s="140"/>
      <c r="X787" s="140"/>
      <c r="Y787" s="140"/>
      <c r="Z787" s="140"/>
    </row>
    <row r="788" spans="6:26" s="141" customFormat="1">
      <c r="F788" s="161"/>
      <c r="G788" s="161"/>
      <c r="I788" s="161"/>
      <c r="K788" s="161"/>
      <c r="Q788" s="143"/>
      <c r="R788" s="143"/>
      <c r="S788" s="143"/>
      <c r="T788" s="140"/>
      <c r="U788" s="140"/>
      <c r="V788" s="140"/>
      <c r="W788" s="140"/>
      <c r="X788" s="140"/>
      <c r="Y788" s="140"/>
      <c r="Z788" s="140"/>
    </row>
    <row r="789" spans="6:26" s="141" customFormat="1">
      <c r="F789" s="161"/>
      <c r="G789" s="161"/>
      <c r="I789" s="161"/>
      <c r="K789" s="161"/>
      <c r="Q789" s="143"/>
      <c r="R789" s="143"/>
      <c r="S789" s="143"/>
      <c r="T789" s="140"/>
      <c r="U789" s="140"/>
      <c r="V789" s="140"/>
      <c r="W789" s="140"/>
      <c r="X789" s="140"/>
      <c r="Y789" s="140"/>
      <c r="Z789" s="140"/>
    </row>
    <row r="790" spans="6:26" s="141" customFormat="1">
      <c r="F790" s="161"/>
      <c r="G790" s="161"/>
      <c r="I790" s="161"/>
      <c r="K790" s="161"/>
      <c r="Q790" s="143"/>
      <c r="R790" s="143"/>
      <c r="S790" s="143"/>
      <c r="T790" s="140"/>
      <c r="U790" s="140"/>
      <c r="V790" s="140"/>
      <c r="W790" s="140"/>
      <c r="X790" s="140"/>
      <c r="Y790" s="140"/>
      <c r="Z790" s="140"/>
    </row>
    <row r="791" spans="6:26" s="141" customFormat="1">
      <c r="F791" s="161"/>
      <c r="G791" s="161"/>
      <c r="I791" s="161"/>
      <c r="K791" s="161"/>
      <c r="Q791" s="143"/>
      <c r="R791" s="143"/>
      <c r="S791" s="143"/>
      <c r="T791" s="140"/>
      <c r="U791" s="140"/>
      <c r="V791" s="140"/>
      <c r="W791" s="140"/>
      <c r="X791" s="140"/>
      <c r="Y791" s="140"/>
      <c r="Z791" s="140"/>
    </row>
    <row r="792" spans="6:26" s="141" customFormat="1">
      <c r="F792" s="161"/>
      <c r="G792" s="161"/>
      <c r="I792" s="161"/>
      <c r="K792" s="161"/>
      <c r="Q792" s="143"/>
      <c r="R792" s="143"/>
      <c r="S792" s="143"/>
      <c r="T792" s="140"/>
      <c r="U792" s="140"/>
      <c r="V792" s="140"/>
      <c r="W792" s="140"/>
      <c r="X792" s="140"/>
      <c r="Y792" s="140"/>
      <c r="Z792" s="140"/>
    </row>
    <row r="793" spans="6:26" s="141" customFormat="1">
      <c r="F793" s="161"/>
      <c r="G793" s="161"/>
      <c r="I793" s="161"/>
      <c r="K793" s="161"/>
      <c r="Q793" s="143"/>
      <c r="R793" s="143"/>
      <c r="S793" s="143"/>
      <c r="T793" s="140"/>
      <c r="U793" s="140"/>
      <c r="V793" s="140"/>
      <c r="W793" s="140"/>
      <c r="X793" s="140"/>
      <c r="Y793" s="140"/>
      <c r="Z793" s="140"/>
    </row>
    <row r="794" spans="6:26" s="141" customFormat="1">
      <c r="F794" s="161"/>
      <c r="G794" s="161"/>
      <c r="I794" s="161"/>
      <c r="K794" s="161"/>
      <c r="Q794" s="143"/>
      <c r="R794" s="143"/>
      <c r="S794" s="143"/>
      <c r="T794" s="140"/>
      <c r="U794" s="140"/>
      <c r="V794" s="140"/>
      <c r="W794" s="140"/>
      <c r="X794" s="140"/>
      <c r="Y794" s="140"/>
      <c r="Z794" s="140"/>
    </row>
    <row r="795" spans="6:26" s="141" customFormat="1">
      <c r="F795" s="161"/>
      <c r="G795" s="161"/>
      <c r="I795" s="161"/>
      <c r="K795" s="161"/>
      <c r="Q795" s="143"/>
      <c r="R795" s="143"/>
      <c r="S795" s="143"/>
      <c r="T795" s="140"/>
      <c r="U795" s="140"/>
      <c r="V795" s="140"/>
      <c r="W795" s="140"/>
      <c r="X795" s="140"/>
      <c r="Y795" s="140"/>
      <c r="Z795" s="140"/>
    </row>
    <row r="796" spans="6:26" s="141" customFormat="1">
      <c r="F796" s="161"/>
      <c r="G796" s="161"/>
      <c r="I796" s="161"/>
      <c r="K796" s="161"/>
      <c r="Q796" s="143"/>
      <c r="R796" s="143"/>
      <c r="S796" s="143"/>
      <c r="T796" s="140"/>
      <c r="U796" s="140"/>
      <c r="V796" s="140"/>
      <c r="W796" s="140"/>
      <c r="X796" s="140"/>
      <c r="Y796" s="140"/>
      <c r="Z796" s="140"/>
    </row>
    <row r="797" spans="6:26" s="141" customFormat="1">
      <c r="F797" s="161"/>
      <c r="G797" s="161"/>
      <c r="I797" s="161"/>
      <c r="K797" s="161"/>
      <c r="Q797" s="143"/>
      <c r="R797" s="143"/>
      <c r="S797" s="143"/>
      <c r="T797" s="140"/>
      <c r="U797" s="140"/>
      <c r="V797" s="140"/>
      <c r="W797" s="140"/>
      <c r="X797" s="140"/>
      <c r="Y797" s="140"/>
      <c r="Z797" s="140"/>
    </row>
    <row r="798" spans="6:26" s="141" customFormat="1">
      <c r="F798" s="161"/>
      <c r="G798" s="161"/>
      <c r="I798" s="161"/>
      <c r="K798" s="161"/>
      <c r="Q798" s="143"/>
      <c r="R798" s="143"/>
      <c r="S798" s="143"/>
      <c r="T798" s="140"/>
      <c r="U798" s="140"/>
      <c r="V798" s="140"/>
      <c r="W798" s="140"/>
      <c r="X798" s="140"/>
      <c r="Y798" s="140"/>
      <c r="Z798" s="140"/>
    </row>
    <row r="799" spans="6:26" s="141" customFormat="1">
      <c r="F799" s="161"/>
      <c r="G799" s="161"/>
      <c r="I799" s="161"/>
      <c r="K799" s="161"/>
      <c r="Q799" s="143"/>
      <c r="R799" s="143"/>
      <c r="S799" s="143"/>
      <c r="T799" s="140"/>
      <c r="U799" s="140"/>
      <c r="V799" s="140"/>
      <c r="W799" s="140"/>
      <c r="X799" s="140"/>
      <c r="Y799" s="140"/>
      <c r="Z799" s="140"/>
    </row>
    <row r="800" spans="6:26" s="141" customFormat="1">
      <c r="F800" s="161"/>
      <c r="G800" s="161"/>
      <c r="I800" s="161"/>
      <c r="K800" s="161"/>
      <c r="Q800" s="143"/>
      <c r="R800" s="143"/>
      <c r="S800" s="143"/>
      <c r="T800" s="140"/>
      <c r="U800" s="140"/>
      <c r="V800" s="140"/>
      <c r="W800" s="140"/>
      <c r="X800" s="140"/>
      <c r="Y800" s="140"/>
      <c r="Z800" s="140"/>
    </row>
    <row r="801" spans="6:26" s="141" customFormat="1">
      <c r="F801" s="161"/>
      <c r="G801" s="161"/>
      <c r="I801" s="161"/>
      <c r="K801" s="161"/>
      <c r="Q801" s="143"/>
      <c r="R801" s="143"/>
      <c r="S801" s="143"/>
      <c r="T801" s="140"/>
      <c r="U801" s="140"/>
      <c r="V801" s="140"/>
      <c r="W801" s="140"/>
      <c r="X801" s="140"/>
      <c r="Y801" s="140"/>
      <c r="Z801" s="140"/>
    </row>
    <row r="802" spans="6:26" s="141" customFormat="1">
      <c r="F802" s="161"/>
      <c r="G802" s="161"/>
      <c r="I802" s="161"/>
      <c r="K802" s="161"/>
      <c r="Q802" s="143"/>
      <c r="R802" s="143"/>
      <c r="S802" s="143"/>
      <c r="T802" s="140"/>
      <c r="U802" s="140"/>
      <c r="V802" s="140"/>
      <c r="W802" s="140"/>
      <c r="X802" s="140"/>
      <c r="Y802" s="140"/>
      <c r="Z802" s="140"/>
    </row>
    <row r="803" spans="6:26" s="141" customFormat="1">
      <c r="F803" s="161"/>
      <c r="G803" s="161"/>
      <c r="I803" s="161"/>
      <c r="K803" s="161"/>
      <c r="Q803" s="143"/>
      <c r="R803" s="143"/>
      <c r="S803" s="143"/>
      <c r="T803" s="140"/>
      <c r="U803" s="140"/>
      <c r="V803" s="140"/>
      <c r="W803" s="140"/>
      <c r="X803" s="140"/>
      <c r="Y803" s="140"/>
      <c r="Z803" s="140"/>
    </row>
    <row r="804" spans="6:26" s="141" customFormat="1">
      <c r="F804" s="161"/>
      <c r="G804" s="161"/>
      <c r="I804" s="161"/>
      <c r="K804" s="161"/>
      <c r="Q804" s="143"/>
      <c r="R804" s="143"/>
      <c r="S804" s="143"/>
      <c r="T804" s="140"/>
      <c r="U804" s="140"/>
      <c r="V804" s="140"/>
      <c r="W804" s="140"/>
      <c r="X804" s="140"/>
      <c r="Y804" s="140"/>
      <c r="Z804" s="140"/>
    </row>
    <row r="805" spans="6:26" s="141" customFormat="1">
      <c r="F805" s="161"/>
      <c r="G805" s="161"/>
      <c r="I805" s="161"/>
      <c r="K805" s="161"/>
      <c r="Q805" s="143"/>
      <c r="R805" s="143"/>
      <c r="S805" s="143"/>
      <c r="T805" s="140"/>
      <c r="U805" s="140"/>
      <c r="V805" s="140"/>
      <c r="W805" s="140"/>
      <c r="X805" s="140"/>
      <c r="Y805" s="140"/>
      <c r="Z805" s="140"/>
    </row>
    <row r="806" spans="6:26" s="141" customFormat="1">
      <c r="F806" s="161"/>
      <c r="G806" s="161"/>
      <c r="I806" s="161"/>
      <c r="K806" s="161"/>
      <c r="Q806" s="143"/>
      <c r="R806" s="143"/>
      <c r="S806" s="143"/>
      <c r="T806" s="140"/>
      <c r="U806" s="140"/>
      <c r="V806" s="140"/>
      <c r="W806" s="140"/>
      <c r="X806" s="140"/>
      <c r="Y806" s="140"/>
      <c r="Z806" s="140"/>
    </row>
    <row r="807" spans="6:26" s="141" customFormat="1">
      <c r="F807" s="161"/>
      <c r="G807" s="161"/>
      <c r="I807" s="161"/>
      <c r="K807" s="161"/>
      <c r="Q807" s="143"/>
      <c r="R807" s="143"/>
      <c r="S807" s="143"/>
      <c r="T807" s="140"/>
      <c r="U807" s="140"/>
      <c r="V807" s="140"/>
      <c r="W807" s="140"/>
      <c r="X807" s="140"/>
      <c r="Y807" s="140"/>
      <c r="Z807" s="140"/>
    </row>
    <row r="808" spans="6:26" s="141" customFormat="1">
      <c r="F808" s="161"/>
      <c r="G808" s="161"/>
      <c r="I808" s="161"/>
      <c r="K808" s="161"/>
      <c r="Q808" s="143"/>
      <c r="R808" s="143"/>
      <c r="S808" s="143"/>
      <c r="T808" s="140"/>
      <c r="U808" s="140"/>
      <c r="V808" s="140"/>
      <c r="W808" s="140"/>
      <c r="X808" s="140"/>
      <c r="Y808" s="140"/>
      <c r="Z808" s="140"/>
    </row>
    <row r="809" spans="6:26" s="141" customFormat="1">
      <c r="F809" s="161"/>
      <c r="G809" s="161"/>
      <c r="I809" s="161"/>
      <c r="K809" s="161"/>
      <c r="Q809" s="143"/>
      <c r="R809" s="143"/>
      <c r="S809" s="143"/>
      <c r="T809" s="140"/>
      <c r="U809" s="140"/>
      <c r="V809" s="140"/>
      <c r="W809" s="140"/>
      <c r="X809" s="140"/>
      <c r="Y809" s="140"/>
      <c r="Z809" s="140"/>
    </row>
    <row r="810" spans="6:26" s="141" customFormat="1">
      <c r="F810" s="161"/>
      <c r="G810" s="161"/>
      <c r="I810" s="161"/>
      <c r="K810" s="161"/>
      <c r="Q810" s="143"/>
      <c r="R810" s="143"/>
      <c r="S810" s="143"/>
      <c r="T810" s="140"/>
      <c r="U810" s="140"/>
      <c r="V810" s="140"/>
      <c r="W810" s="140"/>
      <c r="X810" s="140"/>
      <c r="Y810" s="140"/>
      <c r="Z810" s="140"/>
    </row>
    <row r="811" spans="6:26" s="141" customFormat="1">
      <c r="F811" s="161"/>
      <c r="G811" s="161"/>
      <c r="I811" s="161"/>
      <c r="K811" s="161"/>
      <c r="Q811" s="143"/>
      <c r="R811" s="143"/>
      <c r="S811" s="143"/>
      <c r="T811" s="140"/>
      <c r="U811" s="140"/>
      <c r="V811" s="140"/>
      <c r="W811" s="140"/>
      <c r="X811" s="140"/>
      <c r="Y811" s="140"/>
      <c r="Z811" s="140"/>
    </row>
    <row r="812" spans="6:26" s="141" customFormat="1">
      <c r="F812" s="161"/>
      <c r="G812" s="161"/>
      <c r="I812" s="161"/>
      <c r="K812" s="161"/>
      <c r="Q812" s="143"/>
      <c r="R812" s="143"/>
      <c r="S812" s="143"/>
      <c r="T812" s="140"/>
      <c r="U812" s="140"/>
      <c r="V812" s="140"/>
      <c r="W812" s="140"/>
      <c r="X812" s="140"/>
      <c r="Y812" s="140"/>
      <c r="Z812" s="140"/>
    </row>
    <row r="813" spans="6:26" s="141" customFormat="1">
      <c r="F813" s="161"/>
      <c r="G813" s="161"/>
      <c r="I813" s="161"/>
      <c r="K813" s="161"/>
      <c r="Q813" s="143"/>
      <c r="R813" s="143"/>
      <c r="S813" s="143"/>
      <c r="T813" s="140"/>
      <c r="U813" s="140"/>
      <c r="V813" s="140"/>
      <c r="W813" s="140"/>
      <c r="X813" s="140"/>
      <c r="Y813" s="140"/>
      <c r="Z813" s="140"/>
    </row>
    <row r="814" spans="6:26" s="141" customFormat="1">
      <c r="F814" s="161"/>
      <c r="G814" s="161"/>
      <c r="I814" s="161"/>
      <c r="K814" s="161"/>
      <c r="Q814" s="143"/>
      <c r="R814" s="143"/>
      <c r="S814" s="143"/>
      <c r="T814" s="140"/>
      <c r="U814" s="140"/>
      <c r="V814" s="140"/>
      <c r="W814" s="140"/>
      <c r="X814" s="140"/>
      <c r="Y814" s="140"/>
      <c r="Z814" s="140"/>
    </row>
    <row r="815" spans="6:26" s="141" customFormat="1">
      <c r="F815" s="161"/>
      <c r="G815" s="161"/>
      <c r="I815" s="161"/>
      <c r="K815" s="161"/>
      <c r="Q815" s="143"/>
      <c r="R815" s="143"/>
      <c r="S815" s="143"/>
      <c r="T815" s="140"/>
      <c r="U815" s="140"/>
      <c r="V815" s="140"/>
      <c r="W815" s="140"/>
      <c r="X815" s="140"/>
      <c r="Y815" s="140"/>
      <c r="Z815" s="140"/>
    </row>
    <row r="816" spans="6:26" s="141" customFormat="1">
      <c r="F816" s="161"/>
      <c r="G816" s="161"/>
      <c r="I816" s="161"/>
      <c r="K816" s="161"/>
      <c r="Q816" s="143"/>
      <c r="R816" s="143"/>
      <c r="S816" s="143"/>
      <c r="T816" s="140"/>
      <c r="U816" s="140"/>
      <c r="V816" s="140"/>
      <c r="W816" s="140"/>
      <c r="X816" s="140"/>
      <c r="Y816" s="140"/>
      <c r="Z816" s="140"/>
    </row>
    <row r="817" spans="6:26" s="141" customFormat="1">
      <c r="F817" s="161"/>
      <c r="G817" s="161"/>
      <c r="I817" s="161"/>
      <c r="K817" s="161"/>
      <c r="Q817" s="143"/>
      <c r="R817" s="143"/>
      <c r="S817" s="143"/>
      <c r="T817" s="140"/>
      <c r="U817" s="140"/>
      <c r="V817" s="140"/>
      <c r="W817" s="140"/>
      <c r="X817" s="140"/>
      <c r="Y817" s="140"/>
      <c r="Z817" s="140"/>
    </row>
    <row r="818" spans="6:26" s="141" customFormat="1">
      <c r="F818" s="161"/>
      <c r="G818" s="161"/>
      <c r="I818" s="161"/>
      <c r="K818" s="161"/>
      <c r="Q818" s="143"/>
      <c r="R818" s="143"/>
      <c r="S818" s="143"/>
      <c r="T818" s="140"/>
      <c r="U818" s="140"/>
      <c r="V818" s="140"/>
      <c r="W818" s="140"/>
      <c r="X818" s="140"/>
      <c r="Y818" s="140"/>
      <c r="Z818" s="140"/>
    </row>
    <row r="819" spans="6:26" s="141" customFormat="1">
      <c r="F819" s="161"/>
      <c r="G819" s="161"/>
      <c r="I819" s="161"/>
      <c r="K819" s="161"/>
      <c r="Q819" s="143"/>
      <c r="R819" s="143"/>
      <c r="S819" s="143"/>
      <c r="T819" s="140"/>
      <c r="U819" s="140"/>
      <c r="V819" s="140"/>
      <c r="W819" s="140"/>
      <c r="X819" s="140"/>
      <c r="Y819" s="140"/>
      <c r="Z819" s="140"/>
    </row>
    <row r="820" spans="6:26" s="141" customFormat="1">
      <c r="F820" s="161"/>
      <c r="G820" s="161"/>
      <c r="I820" s="161"/>
      <c r="K820" s="161"/>
      <c r="Q820" s="143"/>
      <c r="R820" s="143"/>
      <c r="S820" s="143"/>
      <c r="T820" s="140"/>
      <c r="U820" s="140"/>
      <c r="V820" s="140"/>
      <c r="W820" s="140"/>
      <c r="X820" s="140"/>
      <c r="Y820" s="140"/>
      <c r="Z820" s="140"/>
    </row>
    <row r="821" spans="6:26" s="141" customFormat="1">
      <c r="F821" s="161"/>
      <c r="G821" s="161"/>
      <c r="I821" s="161"/>
      <c r="K821" s="161"/>
      <c r="Q821" s="143"/>
      <c r="R821" s="143"/>
      <c r="S821" s="143"/>
      <c r="T821" s="140"/>
      <c r="U821" s="140"/>
      <c r="V821" s="140"/>
      <c r="W821" s="140"/>
      <c r="X821" s="140"/>
      <c r="Y821" s="140"/>
      <c r="Z821" s="140"/>
    </row>
    <row r="822" spans="6:26" s="141" customFormat="1">
      <c r="F822" s="161"/>
      <c r="G822" s="161"/>
      <c r="I822" s="161"/>
      <c r="K822" s="161"/>
      <c r="Q822" s="143"/>
      <c r="R822" s="143"/>
      <c r="S822" s="143"/>
      <c r="T822" s="140"/>
      <c r="U822" s="140"/>
      <c r="V822" s="140"/>
      <c r="W822" s="140"/>
      <c r="X822" s="140"/>
      <c r="Y822" s="140"/>
      <c r="Z822" s="140"/>
    </row>
    <row r="823" spans="6:26" s="141" customFormat="1">
      <c r="F823" s="161"/>
      <c r="G823" s="161"/>
      <c r="I823" s="161"/>
      <c r="K823" s="161"/>
      <c r="Q823" s="143"/>
      <c r="R823" s="143"/>
      <c r="S823" s="143"/>
      <c r="T823" s="140"/>
      <c r="U823" s="140"/>
      <c r="V823" s="140"/>
      <c r="W823" s="140"/>
      <c r="X823" s="140"/>
      <c r="Y823" s="140"/>
      <c r="Z823" s="140"/>
    </row>
    <row r="824" spans="6:26" s="141" customFormat="1">
      <c r="F824" s="161"/>
      <c r="G824" s="161"/>
      <c r="I824" s="161"/>
      <c r="K824" s="161"/>
      <c r="Q824" s="143"/>
      <c r="R824" s="143"/>
      <c r="S824" s="143"/>
      <c r="T824" s="140"/>
      <c r="U824" s="140"/>
      <c r="V824" s="140"/>
      <c r="W824" s="140"/>
      <c r="X824" s="140"/>
      <c r="Y824" s="140"/>
      <c r="Z824" s="140"/>
    </row>
    <row r="825" spans="6:26" s="141" customFormat="1">
      <c r="F825" s="161"/>
      <c r="G825" s="161"/>
      <c r="I825" s="161"/>
      <c r="K825" s="161"/>
      <c r="Q825" s="143"/>
      <c r="R825" s="143"/>
      <c r="S825" s="143"/>
      <c r="T825" s="140"/>
      <c r="U825" s="140"/>
      <c r="V825" s="140"/>
      <c r="W825" s="140"/>
      <c r="X825" s="140"/>
      <c r="Y825" s="140"/>
      <c r="Z825" s="140"/>
    </row>
    <row r="826" spans="6:26" s="141" customFormat="1">
      <c r="F826" s="161"/>
      <c r="G826" s="161"/>
      <c r="I826" s="161"/>
      <c r="K826" s="161"/>
      <c r="Q826" s="143"/>
      <c r="R826" s="143"/>
      <c r="S826" s="143"/>
      <c r="T826" s="140"/>
      <c r="U826" s="140"/>
      <c r="V826" s="140"/>
      <c r="W826" s="140"/>
      <c r="X826" s="140"/>
      <c r="Y826" s="140"/>
      <c r="Z826" s="140"/>
    </row>
    <row r="827" spans="6:26" s="141" customFormat="1">
      <c r="F827" s="161"/>
      <c r="G827" s="161"/>
      <c r="I827" s="161"/>
      <c r="K827" s="161"/>
      <c r="Q827" s="143"/>
      <c r="R827" s="143"/>
      <c r="S827" s="143"/>
      <c r="T827" s="140"/>
      <c r="U827" s="140"/>
      <c r="V827" s="140"/>
      <c r="W827" s="140"/>
      <c r="X827" s="140"/>
      <c r="Y827" s="140"/>
      <c r="Z827" s="140"/>
    </row>
    <row r="828" spans="6:26" s="141" customFormat="1">
      <c r="F828" s="161"/>
      <c r="G828" s="161"/>
      <c r="I828" s="161"/>
      <c r="K828" s="161"/>
      <c r="Q828" s="143"/>
      <c r="R828" s="143"/>
      <c r="S828" s="143"/>
      <c r="T828" s="140"/>
      <c r="U828" s="140"/>
      <c r="V828" s="140"/>
      <c r="W828" s="140"/>
      <c r="X828" s="140"/>
      <c r="Y828" s="140"/>
      <c r="Z828" s="140"/>
    </row>
    <row r="829" spans="6:26" s="141" customFormat="1">
      <c r="F829" s="161"/>
      <c r="G829" s="161"/>
      <c r="I829" s="161"/>
      <c r="K829" s="161"/>
      <c r="Q829" s="143"/>
      <c r="R829" s="143"/>
      <c r="S829" s="143"/>
      <c r="T829" s="140"/>
      <c r="U829" s="140"/>
      <c r="V829" s="140"/>
      <c r="W829" s="140"/>
      <c r="X829" s="140"/>
      <c r="Y829" s="140"/>
      <c r="Z829" s="140"/>
    </row>
    <row r="830" spans="6:26" s="141" customFormat="1">
      <c r="F830" s="161"/>
      <c r="G830" s="161"/>
      <c r="I830" s="161"/>
      <c r="K830" s="161"/>
      <c r="Q830" s="143"/>
      <c r="R830" s="143"/>
      <c r="S830" s="143"/>
      <c r="T830" s="140"/>
      <c r="U830" s="140"/>
      <c r="V830" s="140"/>
      <c r="W830" s="140"/>
      <c r="X830" s="140"/>
      <c r="Y830" s="140"/>
      <c r="Z830" s="140"/>
    </row>
    <row r="831" spans="6:26" s="141" customFormat="1">
      <c r="F831" s="161"/>
      <c r="G831" s="161"/>
      <c r="I831" s="161"/>
      <c r="K831" s="161"/>
      <c r="Q831" s="143"/>
      <c r="R831" s="143"/>
      <c r="S831" s="143"/>
      <c r="T831" s="140"/>
      <c r="U831" s="140"/>
      <c r="V831" s="140"/>
      <c r="W831" s="140"/>
      <c r="X831" s="140"/>
      <c r="Y831" s="140"/>
      <c r="Z831" s="140"/>
    </row>
    <row r="832" spans="6:26" s="141" customFormat="1">
      <c r="F832" s="161"/>
      <c r="G832" s="161"/>
      <c r="I832" s="161"/>
      <c r="K832" s="161"/>
      <c r="Q832" s="143"/>
      <c r="R832" s="143"/>
      <c r="S832" s="143"/>
      <c r="T832" s="140"/>
      <c r="U832" s="140"/>
      <c r="V832" s="140"/>
      <c r="W832" s="140"/>
      <c r="X832" s="140"/>
      <c r="Y832" s="140"/>
      <c r="Z832" s="140"/>
    </row>
    <row r="833" spans="6:26" s="141" customFormat="1">
      <c r="F833" s="161"/>
      <c r="G833" s="161"/>
      <c r="I833" s="161"/>
      <c r="K833" s="161"/>
      <c r="Q833" s="143"/>
      <c r="R833" s="143"/>
      <c r="S833" s="143"/>
      <c r="T833" s="140"/>
      <c r="U833" s="140"/>
      <c r="V833" s="140"/>
      <c r="W833" s="140"/>
      <c r="X833" s="140"/>
      <c r="Y833" s="140"/>
      <c r="Z833" s="140"/>
    </row>
    <row r="834" spans="6:26" s="141" customFormat="1">
      <c r="F834" s="161"/>
      <c r="G834" s="161"/>
      <c r="I834" s="161"/>
      <c r="K834" s="161"/>
      <c r="Q834" s="143"/>
      <c r="R834" s="143"/>
      <c r="S834" s="143"/>
      <c r="T834" s="140"/>
      <c r="U834" s="140"/>
      <c r="V834" s="140"/>
      <c r="W834" s="140"/>
      <c r="X834" s="140"/>
      <c r="Y834" s="140"/>
      <c r="Z834" s="140"/>
    </row>
    <row r="835" spans="6:26" s="141" customFormat="1">
      <c r="F835" s="161"/>
      <c r="G835" s="161"/>
      <c r="I835" s="161"/>
      <c r="K835" s="161"/>
      <c r="Q835" s="143"/>
      <c r="R835" s="143"/>
      <c r="S835" s="143"/>
      <c r="T835" s="140"/>
      <c r="U835" s="140"/>
      <c r="V835" s="140"/>
      <c r="W835" s="140"/>
      <c r="X835" s="140"/>
      <c r="Y835" s="140"/>
      <c r="Z835" s="140"/>
    </row>
    <row r="836" spans="6:26" s="141" customFormat="1">
      <c r="F836" s="161"/>
      <c r="G836" s="161"/>
      <c r="I836" s="161"/>
      <c r="K836" s="161"/>
      <c r="Q836" s="143"/>
      <c r="R836" s="143"/>
      <c r="S836" s="143"/>
      <c r="T836" s="140"/>
      <c r="U836" s="140"/>
      <c r="V836" s="140"/>
      <c r="W836" s="140"/>
      <c r="X836" s="140"/>
      <c r="Y836" s="140"/>
      <c r="Z836" s="140"/>
    </row>
    <row r="837" spans="6:26" s="141" customFormat="1">
      <c r="F837" s="161"/>
      <c r="G837" s="161"/>
      <c r="I837" s="161"/>
      <c r="K837" s="161"/>
      <c r="Q837" s="143"/>
      <c r="R837" s="143"/>
      <c r="S837" s="143"/>
      <c r="T837" s="140"/>
      <c r="U837" s="140"/>
      <c r="V837" s="140"/>
      <c r="W837" s="140"/>
      <c r="X837" s="140"/>
      <c r="Y837" s="140"/>
      <c r="Z837" s="140"/>
    </row>
    <row r="838" spans="6:26" s="141" customFormat="1">
      <c r="F838" s="161"/>
      <c r="G838" s="161"/>
      <c r="I838" s="161"/>
      <c r="K838" s="161"/>
      <c r="Q838" s="143"/>
      <c r="R838" s="143"/>
      <c r="S838" s="143"/>
      <c r="T838" s="140"/>
      <c r="U838" s="140"/>
      <c r="V838" s="140"/>
      <c r="W838" s="140"/>
      <c r="X838" s="140"/>
      <c r="Y838" s="140"/>
      <c r="Z838" s="140"/>
    </row>
    <row r="839" spans="6:26" s="141" customFormat="1">
      <c r="F839" s="161"/>
      <c r="G839" s="161"/>
      <c r="I839" s="161"/>
      <c r="K839" s="161"/>
      <c r="Q839" s="143"/>
      <c r="R839" s="143"/>
      <c r="S839" s="143"/>
      <c r="T839" s="140"/>
      <c r="U839" s="140"/>
      <c r="V839" s="140"/>
      <c r="W839" s="140"/>
      <c r="X839" s="140"/>
      <c r="Y839" s="140"/>
      <c r="Z839" s="140"/>
    </row>
    <row r="840" spans="6:26" s="141" customFormat="1">
      <c r="F840" s="161"/>
      <c r="G840" s="161"/>
      <c r="I840" s="161"/>
      <c r="K840" s="161"/>
      <c r="Q840" s="143"/>
      <c r="R840" s="143"/>
      <c r="S840" s="143"/>
      <c r="T840" s="140"/>
      <c r="U840" s="140"/>
      <c r="V840" s="140"/>
      <c r="W840" s="140"/>
      <c r="X840" s="140"/>
      <c r="Y840" s="140"/>
      <c r="Z840" s="140"/>
    </row>
    <row r="841" spans="6:26" s="141" customFormat="1">
      <c r="F841" s="161"/>
      <c r="G841" s="161"/>
      <c r="I841" s="161"/>
      <c r="K841" s="161"/>
      <c r="Q841" s="143"/>
      <c r="R841" s="143"/>
      <c r="S841" s="143"/>
      <c r="T841" s="140"/>
      <c r="U841" s="140"/>
      <c r="V841" s="140"/>
      <c r="W841" s="140"/>
      <c r="X841" s="140"/>
      <c r="Y841" s="140"/>
      <c r="Z841" s="140"/>
    </row>
    <row r="842" spans="6:26" s="141" customFormat="1">
      <c r="F842" s="161"/>
      <c r="G842" s="161"/>
      <c r="I842" s="161"/>
      <c r="K842" s="161"/>
      <c r="Q842" s="143"/>
      <c r="R842" s="143"/>
      <c r="S842" s="143"/>
      <c r="T842" s="140"/>
      <c r="U842" s="140"/>
      <c r="V842" s="140"/>
      <c r="W842" s="140"/>
      <c r="X842" s="140"/>
      <c r="Y842" s="140"/>
      <c r="Z842" s="140"/>
    </row>
    <row r="843" spans="6:26" s="141" customFormat="1">
      <c r="F843" s="161"/>
      <c r="G843" s="161"/>
      <c r="I843" s="161"/>
      <c r="K843" s="161"/>
      <c r="Q843" s="143"/>
      <c r="R843" s="143"/>
      <c r="S843" s="143"/>
      <c r="T843" s="140"/>
      <c r="U843" s="140"/>
      <c r="V843" s="140"/>
      <c r="W843" s="140"/>
      <c r="X843" s="140"/>
      <c r="Y843" s="140"/>
      <c r="Z843" s="140"/>
    </row>
    <row r="844" spans="6:26" s="141" customFormat="1">
      <c r="F844" s="161"/>
      <c r="G844" s="161"/>
      <c r="I844" s="161"/>
      <c r="K844" s="161"/>
      <c r="Q844" s="143"/>
      <c r="R844" s="143"/>
      <c r="S844" s="143"/>
      <c r="T844" s="140"/>
      <c r="U844" s="140"/>
      <c r="V844" s="140"/>
      <c r="W844" s="140"/>
      <c r="X844" s="140"/>
      <c r="Y844" s="140"/>
      <c r="Z844" s="140"/>
    </row>
    <row r="845" spans="6:26" s="141" customFormat="1">
      <c r="F845" s="161"/>
      <c r="G845" s="161"/>
      <c r="I845" s="161"/>
      <c r="K845" s="161"/>
      <c r="Q845" s="143"/>
      <c r="R845" s="143"/>
      <c r="S845" s="143"/>
      <c r="T845" s="140"/>
      <c r="U845" s="140"/>
      <c r="V845" s="140"/>
      <c r="W845" s="140"/>
      <c r="X845" s="140"/>
      <c r="Y845" s="140"/>
      <c r="Z845" s="140"/>
    </row>
    <row r="846" spans="6:26" s="141" customFormat="1">
      <c r="F846" s="161"/>
      <c r="G846" s="161"/>
      <c r="I846" s="161"/>
      <c r="K846" s="161"/>
      <c r="Q846" s="143"/>
      <c r="R846" s="143"/>
      <c r="S846" s="143"/>
      <c r="T846" s="140"/>
      <c r="U846" s="140"/>
      <c r="V846" s="140"/>
      <c r="W846" s="140"/>
      <c r="X846" s="140"/>
      <c r="Y846" s="140"/>
      <c r="Z846" s="140"/>
    </row>
    <row r="847" spans="6:26" s="141" customFormat="1">
      <c r="F847" s="161"/>
      <c r="G847" s="161"/>
      <c r="I847" s="161"/>
      <c r="K847" s="161"/>
      <c r="Q847" s="143"/>
      <c r="R847" s="143"/>
      <c r="S847" s="143"/>
      <c r="T847" s="140"/>
      <c r="U847" s="140"/>
      <c r="V847" s="140"/>
      <c r="W847" s="140"/>
      <c r="X847" s="140"/>
      <c r="Y847" s="140"/>
      <c r="Z847" s="140"/>
    </row>
    <row r="848" spans="6:26" s="141" customFormat="1">
      <c r="F848" s="161"/>
      <c r="G848" s="161"/>
      <c r="I848" s="161"/>
      <c r="K848" s="161"/>
      <c r="Q848" s="143"/>
      <c r="R848" s="143"/>
      <c r="S848" s="143"/>
      <c r="T848" s="140"/>
      <c r="U848" s="140"/>
      <c r="V848" s="140"/>
      <c r="W848" s="140"/>
      <c r="X848" s="140"/>
      <c r="Y848" s="140"/>
      <c r="Z848" s="140"/>
    </row>
    <row r="849" spans="6:26" s="141" customFormat="1">
      <c r="F849" s="161"/>
      <c r="G849" s="161"/>
      <c r="I849" s="161"/>
      <c r="K849" s="161"/>
      <c r="Q849" s="143"/>
      <c r="R849" s="143"/>
      <c r="S849" s="143"/>
      <c r="T849" s="140"/>
      <c r="U849" s="140"/>
      <c r="V849" s="140"/>
      <c r="W849" s="140"/>
      <c r="X849" s="140"/>
      <c r="Y849" s="140"/>
      <c r="Z849" s="140"/>
    </row>
    <row r="850" spans="6:26" s="141" customFormat="1">
      <c r="F850" s="161"/>
      <c r="G850" s="161"/>
      <c r="I850" s="161"/>
      <c r="K850" s="161"/>
      <c r="Q850" s="143"/>
      <c r="R850" s="143"/>
      <c r="S850" s="143"/>
      <c r="T850" s="140"/>
      <c r="U850" s="140"/>
      <c r="V850" s="140"/>
      <c r="W850" s="140"/>
      <c r="X850" s="140"/>
      <c r="Y850" s="140"/>
      <c r="Z850" s="140"/>
    </row>
    <row r="851" spans="6:26" s="141" customFormat="1">
      <c r="F851" s="161"/>
      <c r="G851" s="161"/>
      <c r="I851" s="161"/>
      <c r="K851" s="161"/>
      <c r="Q851" s="143"/>
      <c r="R851" s="143"/>
      <c r="S851" s="143"/>
      <c r="T851" s="140"/>
      <c r="U851" s="140"/>
      <c r="V851" s="140"/>
      <c r="W851" s="140"/>
      <c r="X851" s="140"/>
      <c r="Y851" s="140"/>
      <c r="Z851" s="140"/>
    </row>
    <row r="852" spans="6:26" s="141" customFormat="1">
      <c r="F852" s="161"/>
      <c r="G852" s="161"/>
      <c r="I852" s="161"/>
      <c r="K852" s="161"/>
      <c r="Q852" s="143"/>
      <c r="R852" s="143"/>
      <c r="S852" s="143"/>
      <c r="T852" s="140"/>
      <c r="U852" s="140"/>
      <c r="V852" s="140"/>
      <c r="W852" s="140"/>
      <c r="X852" s="140"/>
      <c r="Y852" s="140"/>
      <c r="Z852" s="140"/>
    </row>
    <row r="853" spans="6:26" s="141" customFormat="1">
      <c r="F853" s="161"/>
      <c r="G853" s="161"/>
      <c r="I853" s="161"/>
      <c r="K853" s="161"/>
      <c r="Q853" s="143"/>
      <c r="R853" s="143"/>
      <c r="S853" s="143"/>
      <c r="T853" s="140"/>
      <c r="U853" s="140"/>
      <c r="V853" s="140"/>
      <c r="W853" s="140"/>
      <c r="X853" s="140"/>
      <c r="Y853" s="140"/>
      <c r="Z853" s="140"/>
    </row>
    <row r="854" spans="6:26" s="141" customFormat="1">
      <c r="F854" s="161"/>
      <c r="G854" s="161"/>
      <c r="I854" s="161"/>
      <c r="K854" s="161"/>
      <c r="Q854" s="143"/>
      <c r="R854" s="143"/>
      <c r="S854" s="143"/>
      <c r="T854" s="140"/>
      <c r="U854" s="140"/>
      <c r="V854" s="140"/>
      <c r="W854" s="140"/>
      <c r="X854" s="140"/>
      <c r="Y854" s="140"/>
      <c r="Z854" s="140"/>
    </row>
    <row r="855" spans="6:26" s="141" customFormat="1">
      <c r="F855" s="161"/>
      <c r="G855" s="161"/>
      <c r="I855" s="161"/>
      <c r="K855" s="161"/>
      <c r="Q855" s="143"/>
      <c r="R855" s="143"/>
      <c r="S855" s="143"/>
      <c r="T855" s="140"/>
      <c r="U855" s="140"/>
      <c r="V855" s="140"/>
      <c r="W855" s="140"/>
      <c r="X855" s="140"/>
      <c r="Y855" s="140"/>
      <c r="Z855" s="140"/>
    </row>
    <row r="856" spans="6:26" s="141" customFormat="1">
      <c r="F856" s="161"/>
      <c r="G856" s="161"/>
      <c r="I856" s="161"/>
      <c r="K856" s="161"/>
      <c r="Q856" s="143"/>
      <c r="R856" s="143"/>
      <c r="S856" s="143"/>
      <c r="T856" s="140"/>
      <c r="U856" s="140"/>
      <c r="V856" s="140"/>
      <c r="W856" s="140"/>
      <c r="X856" s="140"/>
      <c r="Y856" s="140"/>
      <c r="Z856" s="140"/>
    </row>
    <row r="857" spans="6:26" s="141" customFormat="1">
      <c r="F857" s="161"/>
      <c r="G857" s="161"/>
      <c r="I857" s="161"/>
      <c r="K857" s="161"/>
      <c r="Q857" s="143"/>
      <c r="R857" s="143"/>
      <c r="S857" s="143"/>
      <c r="T857" s="140"/>
      <c r="U857" s="140"/>
      <c r="V857" s="140"/>
      <c r="W857" s="140"/>
      <c r="X857" s="140"/>
      <c r="Y857" s="140"/>
      <c r="Z857" s="140"/>
    </row>
    <row r="858" spans="6:26" s="141" customFormat="1">
      <c r="F858" s="161"/>
      <c r="G858" s="161"/>
      <c r="I858" s="161"/>
      <c r="K858" s="161"/>
      <c r="Q858" s="143"/>
      <c r="R858" s="143"/>
      <c r="S858" s="143"/>
      <c r="T858" s="140"/>
      <c r="U858" s="140"/>
      <c r="V858" s="140"/>
      <c r="W858" s="140"/>
      <c r="X858" s="140"/>
      <c r="Y858" s="140"/>
      <c r="Z858" s="140"/>
    </row>
    <row r="859" spans="6:26" s="141" customFormat="1">
      <c r="F859" s="161"/>
      <c r="G859" s="161"/>
      <c r="I859" s="161"/>
      <c r="K859" s="161"/>
      <c r="Q859" s="143"/>
      <c r="R859" s="143"/>
      <c r="S859" s="143"/>
      <c r="T859" s="140"/>
      <c r="U859" s="140"/>
      <c r="V859" s="140"/>
      <c r="W859" s="140"/>
      <c r="X859" s="140"/>
      <c r="Y859" s="140"/>
      <c r="Z859" s="140"/>
    </row>
    <row r="860" spans="6:26" s="141" customFormat="1">
      <c r="F860" s="161"/>
      <c r="G860" s="161"/>
      <c r="I860" s="161"/>
      <c r="K860" s="161"/>
      <c r="Q860" s="143"/>
      <c r="R860" s="143"/>
      <c r="S860" s="143"/>
      <c r="T860" s="140"/>
      <c r="U860" s="140"/>
      <c r="V860" s="140"/>
      <c r="W860" s="140"/>
      <c r="X860" s="140"/>
      <c r="Y860" s="140"/>
      <c r="Z860" s="140"/>
    </row>
    <row r="861" spans="6:26" s="141" customFormat="1">
      <c r="F861" s="161"/>
      <c r="G861" s="161"/>
      <c r="I861" s="161"/>
      <c r="K861" s="161"/>
      <c r="Q861" s="143"/>
      <c r="R861" s="143"/>
      <c r="S861" s="143"/>
      <c r="T861" s="140"/>
      <c r="U861" s="140"/>
      <c r="V861" s="140"/>
      <c r="W861" s="140"/>
      <c r="X861" s="140"/>
      <c r="Y861" s="140"/>
      <c r="Z861" s="140"/>
    </row>
    <row r="862" spans="6:26" s="141" customFormat="1">
      <c r="F862" s="161"/>
      <c r="G862" s="161"/>
      <c r="I862" s="161"/>
      <c r="K862" s="161"/>
      <c r="Q862" s="143"/>
      <c r="R862" s="143"/>
      <c r="S862" s="143"/>
      <c r="T862" s="140"/>
      <c r="U862" s="140"/>
      <c r="V862" s="140"/>
      <c r="W862" s="140"/>
      <c r="X862" s="140"/>
      <c r="Y862" s="140"/>
      <c r="Z862" s="140"/>
    </row>
    <row r="863" spans="6:26" s="141" customFormat="1">
      <c r="F863" s="161"/>
      <c r="G863" s="161"/>
      <c r="I863" s="161"/>
      <c r="K863" s="161"/>
      <c r="Q863" s="143"/>
      <c r="R863" s="143"/>
      <c r="S863" s="143"/>
      <c r="T863" s="140"/>
      <c r="U863" s="140"/>
      <c r="V863" s="140"/>
      <c r="W863" s="140"/>
      <c r="X863" s="140"/>
      <c r="Y863" s="140"/>
      <c r="Z863" s="140"/>
    </row>
    <row r="864" spans="6:26" s="141" customFormat="1">
      <c r="F864" s="161"/>
      <c r="G864" s="161"/>
      <c r="I864" s="161"/>
      <c r="K864" s="161"/>
      <c r="Q864" s="143"/>
      <c r="R864" s="143"/>
      <c r="S864" s="143"/>
      <c r="T864" s="140"/>
      <c r="U864" s="140"/>
      <c r="V864" s="140"/>
      <c r="W864" s="140"/>
      <c r="X864" s="140"/>
      <c r="Y864" s="140"/>
      <c r="Z864" s="140"/>
    </row>
    <row r="865" spans="6:26" s="141" customFormat="1">
      <c r="F865" s="161"/>
      <c r="G865" s="161"/>
      <c r="I865" s="161"/>
      <c r="K865" s="161"/>
      <c r="Q865" s="143"/>
      <c r="R865" s="143"/>
      <c r="S865" s="143"/>
      <c r="T865" s="140"/>
      <c r="U865" s="140"/>
      <c r="V865" s="140"/>
      <c r="W865" s="140"/>
      <c r="X865" s="140"/>
      <c r="Y865" s="140"/>
      <c r="Z865" s="140"/>
    </row>
    <row r="866" spans="6:26" s="141" customFormat="1">
      <c r="F866" s="161"/>
      <c r="G866" s="161"/>
      <c r="I866" s="161"/>
      <c r="K866" s="161"/>
      <c r="Q866" s="143"/>
      <c r="R866" s="143"/>
      <c r="S866" s="143"/>
      <c r="T866" s="140"/>
      <c r="U866" s="140"/>
      <c r="V866" s="140"/>
      <c r="W866" s="140"/>
      <c r="X866" s="140"/>
      <c r="Y866" s="140"/>
      <c r="Z866" s="140"/>
    </row>
    <row r="867" spans="6:26" s="141" customFormat="1">
      <c r="F867" s="161"/>
      <c r="G867" s="161"/>
      <c r="I867" s="161"/>
      <c r="K867" s="161"/>
      <c r="Q867" s="143"/>
      <c r="R867" s="143"/>
      <c r="S867" s="143"/>
      <c r="T867" s="140"/>
      <c r="U867" s="140"/>
      <c r="V867" s="140"/>
      <c r="W867" s="140"/>
      <c r="X867" s="140"/>
      <c r="Y867" s="140"/>
      <c r="Z867" s="140"/>
    </row>
    <row r="868" spans="6:26" s="141" customFormat="1">
      <c r="F868" s="161"/>
      <c r="G868" s="161"/>
      <c r="I868" s="161"/>
      <c r="K868" s="161"/>
      <c r="Q868" s="143"/>
      <c r="R868" s="143"/>
      <c r="S868" s="143"/>
      <c r="T868" s="140"/>
      <c r="U868" s="140"/>
      <c r="V868" s="140"/>
      <c r="W868" s="140"/>
      <c r="X868" s="140"/>
      <c r="Y868" s="140"/>
      <c r="Z868" s="140"/>
    </row>
    <row r="869" spans="6:26" s="141" customFormat="1">
      <c r="F869" s="161"/>
      <c r="G869" s="161"/>
      <c r="I869" s="161"/>
      <c r="K869" s="161"/>
      <c r="Q869" s="143"/>
      <c r="R869" s="143"/>
      <c r="S869" s="143"/>
      <c r="T869" s="140"/>
      <c r="U869" s="140"/>
      <c r="V869" s="140"/>
      <c r="W869" s="140"/>
      <c r="X869" s="140"/>
      <c r="Y869" s="140"/>
      <c r="Z869" s="140"/>
    </row>
    <row r="870" spans="6:26" s="141" customFormat="1">
      <c r="F870" s="161"/>
      <c r="G870" s="161"/>
      <c r="I870" s="161"/>
      <c r="K870" s="161"/>
      <c r="Q870" s="143"/>
      <c r="R870" s="143"/>
      <c r="S870" s="143"/>
      <c r="T870" s="140"/>
      <c r="U870" s="140"/>
      <c r="V870" s="140"/>
      <c r="W870" s="140"/>
      <c r="X870" s="140"/>
      <c r="Y870" s="140"/>
      <c r="Z870" s="140"/>
    </row>
    <row r="871" spans="6:26" s="141" customFormat="1">
      <c r="F871" s="161"/>
      <c r="G871" s="161"/>
      <c r="I871" s="161"/>
      <c r="K871" s="161"/>
      <c r="Q871" s="143"/>
      <c r="R871" s="143"/>
      <c r="S871" s="143"/>
      <c r="T871" s="140"/>
      <c r="U871" s="140"/>
      <c r="V871" s="140"/>
      <c r="W871" s="140"/>
      <c r="X871" s="140"/>
      <c r="Y871" s="140"/>
      <c r="Z871" s="140"/>
    </row>
    <row r="872" spans="6:26" s="141" customFormat="1">
      <c r="F872" s="161"/>
      <c r="G872" s="161"/>
      <c r="I872" s="161"/>
      <c r="K872" s="161"/>
      <c r="Q872" s="143"/>
      <c r="R872" s="143"/>
      <c r="S872" s="143"/>
      <c r="T872" s="140"/>
      <c r="U872" s="140"/>
      <c r="V872" s="140"/>
      <c r="W872" s="140"/>
      <c r="X872" s="140"/>
      <c r="Y872" s="140"/>
      <c r="Z872" s="140"/>
    </row>
    <row r="873" spans="6:26" s="141" customFormat="1">
      <c r="F873" s="161"/>
      <c r="G873" s="161"/>
      <c r="I873" s="161"/>
      <c r="K873" s="161"/>
      <c r="Q873" s="143"/>
      <c r="R873" s="143"/>
      <c r="S873" s="143"/>
      <c r="T873" s="140"/>
      <c r="U873" s="140"/>
      <c r="V873" s="140"/>
      <c r="W873" s="140"/>
      <c r="X873" s="140"/>
      <c r="Y873" s="140"/>
      <c r="Z873" s="140"/>
    </row>
    <row r="874" spans="6:26" s="141" customFormat="1">
      <c r="F874" s="161"/>
      <c r="G874" s="161"/>
      <c r="I874" s="161"/>
      <c r="K874" s="161"/>
      <c r="Q874" s="143"/>
      <c r="R874" s="143"/>
      <c r="S874" s="143"/>
      <c r="T874" s="140"/>
      <c r="U874" s="140"/>
      <c r="V874" s="140"/>
      <c r="W874" s="140"/>
      <c r="X874" s="140"/>
      <c r="Y874" s="140"/>
      <c r="Z874" s="140"/>
    </row>
    <row r="875" spans="6:26" s="141" customFormat="1">
      <c r="F875" s="161"/>
      <c r="G875" s="161"/>
      <c r="I875" s="161"/>
      <c r="K875" s="161"/>
      <c r="Q875" s="143"/>
      <c r="R875" s="143"/>
      <c r="S875" s="143"/>
      <c r="T875" s="140"/>
      <c r="U875" s="140"/>
      <c r="V875" s="140"/>
      <c r="W875" s="140"/>
      <c r="X875" s="140"/>
      <c r="Y875" s="140"/>
      <c r="Z875" s="140"/>
    </row>
    <row r="876" spans="6:26" s="141" customFormat="1">
      <c r="F876" s="161"/>
      <c r="G876" s="161"/>
      <c r="I876" s="161"/>
      <c r="K876" s="161"/>
      <c r="Q876" s="143"/>
      <c r="R876" s="143"/>
      <c r="S876" s="143"/>
      <c r="T876" s="140"/>
      <c r="U876" s="140"/>
      <c r="V876" s="140"/>
      <c r="W876" s="140"/>
      <c r="X876" s="140"/>
      <c r="Y876" s="140"/>
      <c r="Z876" s="140"/>
    </row>
    <row r="877" spans="6:26" s="141" customFormat="1">
      <c r="F877" s="161"/>
      <c r="G877" s="161"/>
      <c r="I877" s="161"/>
      <c r="K877" s="161"/>
      <c r="Q877" s="143"/>
      <c r="R877" s="143"/>
      <c r="S877" s="143"/>
      <c r="T877" s="140"/>
      <c r="U877" s="140"/>
      <c r="V877" s="140"/>
      <c r="W877" s="140"/>
      <c r="X877" s="140"/>
      <c r="Y877" s="140"/>
      <c r="Z877" s="140"/>
    </row>
    <row r="878" spans="6:26" s="141" customFormat="1">
      <c r="F878" s="161"/>
      <c r="G878" s="161"/>
      <c r="I878" s="161"/>
      <c r="K878" s="161"/>
      <c r="Q878" s="143"/>
      <c r="R878" s="143"/>
      <c r="S878" s="143"/>
      <c r="T878" s="140"/>
      <c r="U878" s="140"/>
      <c r="V878" s="140"/>
      <c r="W878" s="140"/>
      <c r="X878" s="140"/>
      <c r="Y878" s="140"/>
      <c r="Z878" s="140"/>
    </row>
    <row r="879" spans="6:26" s="141" customFormat="1">
      <c r="F879" s="161"/>
      <c r="G879" s="161"/>
      <c r="I879" s="161"/>
      <c r="K879" s="161"/>
      <c r="Q879" s="143"/>
      <c r="R879" s="143"/>
      <c r="S879" s="143"/>
      <c r="T879" s="140"/>
      <c r="U879" s="140"/>
      <c r="V879" s="140"/>
      <c r="W879" s="140"/>
      <c r="X879" s="140"/>
      <c r="Y879" s="140"/>
      <c r="Z879" s="140"/>
    </row>
    <row r="880" spans="6:26" s="141" customFormat="1">
      <c r="F880" s="161"/>
      <c r="G880" s="161"/>
      <c r="I880" s="161"/>
      <c r="K880" s="161"/>
      <c r="Q880" s="143"/>
      <c r="R880" s="143"/>
      <c r="S880" s="143"/>
      <c r="T880" s="140"/>
      <c r="U880" s="140"/>
      <c r="V880" s="140"/>
      <c r="W880" s="140"/>
      <c r="X880" s="140"/>
      <c r="Y880" s="140"/>
      <c r="Z880" s="140"/>
    </row>
    <row r="881" spans="6:26" s="141" customFormat="1">
      <c r="F881" s="161"/>
      <c r="G881" s="161"/>
      <c r="I881" s="161"/>
      <c r="K881" s="161"/>
      <c r="Q881" s="143"/>
      <c r="R881" s="143"/>
      <c r="S881" s="143"/>
      <c r="T881" s="140"/>
      <c r="U881" s="140"/>
      <c r="V881" s="140"/>
      <c r="W881" s="140"/>
      <c r="X881" s="140"/>
      <c r="Y881" s="140"/>
      <c r="Z881" s="140"/>
    </row>
    <row r="882" spans="6:26" s="141" customFormat="1">
      <c r="F882" s="161"/>
      <c r="G882" s="161"/>
      <c r="I882" s="161"/>
      <c r="K882" s="161"/>
      <c r="Q882" s="143"/>
      <c r="R882" s="143"/>
      <c r="S882" s="143"/>
      <c r="T882" s="140"/>
      <c r="U882" s="140"/>
      <c r="V882" s="140"/>
      <c r="W882" s="140"/>
      <c r="X882" s="140"/>
      <c r="Y882" s="140"/>
      <c r="Z882" s="140"/>
    </row>
    <row r="883" spans="6:26" s="141" customFormat="1">
      <c r="F883" s="161"/>
      <c r="G883" s="161"/>
      <c r="I883" s="161"/>
      <c r="K883" s="161"/>
      <c r="Q883" s="143"/>
      <c r="R883" s="143"/>
      <c r="S883" s="143"/>
      <c r="T883" s="140"/>
      <c r="U883" s="140"/>
      <c r="V883" s="140"/>
      <c r="W883" s="140"/>
      <c r="X883" s="140"/>
      <c r="Y883" s="140"/>
      <c r="Z883" s="140"/>
    </row>
    <row r="884" spans="6:26" s="141" customFormat="1">
      <c r="F884" s="161"/>
      <c r="G884" s="161"/>
      <c r="I884" s="161"/>
      <c r="K884" s="161"/>
      <c r="Q884" s="143"/>
      <c r="R884" s="143"/>
      <c r="S884" s="143"/>
      <c r="T884" s="140"/>
      <c r="U884" s="140"/>
      <c r="V884" s="140"/>
      <c r="W884" s="140"/>
      <c r="X884" s="140"/>
      <c r="Y884" s="140"/>
      <c r="Z884" s="140"/>
    </row>
    <row r="885" spans="6:26" s="141" customFormat="1">
      <c r="F885" s="161"/>
      <c r="G885" s="161"/>
      <c r="I885" s="161"/>
      <c r="K885" s="161"/>
      <c r="Q885" s="143"/>
      <c r="R885" s="143"/>
      <c r="S885" s="143"/>
      <c r="T885" s="140"/>
      <c r="U885" s="140"/>
      <c r="V885" s="140"/>
      <c r="W885" s="140"/>
      <c r="X885" s="140"/>
      <c r="Y885" s="140"/>
      <c r="Z885" s="140"/>
    </row>
    <row r="886" spans="6:26" s="141" customFormat="1">
      <c r="F886" s="161"/>
      <c r="G886" s="161"/>
      <c r="I886" s="161"/>
      <c r="K886" s="161"/>
      <c r="Q886" s="143"/>
      <c r="R886" s="143"/>
      <c r="S886" s="143"/>
      <c r="T886" s="140"/>
      <c r="U886" s="140"/>
      <c r="V886" s="140"/>
      <c r="W886" s="140"/>
      <c r="X886" s="140"/>
      <c r="Y886" s="140"/>
      <c r="Z886" s="140"/>
    </row>
    <row r="887" spans="6:26" s="141" customFormat="1">
      <c r="F887" s="161"/>
      <c r="G887" s="161"/>
      <c r="I887" s="161"/>
      <c r="K887" s="161"/>
      <c r="Q887" s="143"/>
      <c r="R887" s="143"/>
      <c r="S887" s="143"/>
      <c r="T887" s="140"/>
      <c r="U887" s="140"/>
      <c r="V887" s="140"/>
      <c r="W887" s="140"/>
      <c r="X887" s="140"/>
      <c r="Y887" s="140"/>
      <c r="Z887" s="140"/>
    </row>
    <row r="888" spans="6:26" s="141" customFormat="1">
      <c r="F888" s="161"/>
      <c r="G888" s="161"/>
      <c r="I888" s="161"/>
      <c r="K888" s="161"/>
      <c r="Q888" s="143"/>
      <c r="R888" s="143"/>
      <c r="S888" s="143"/>
      <c r="T888" s="140"/>
      <c r="U888" s="140"/>
      <c r="V888" s="140"/>
      <c r="W888" s="140"/>
      <c r="X888" s="140"/>
      <c r="Y888" s="140"/>
      <c r="Z888" s="140"/>
    </row>
    <row r="889" spans="6:26" s="141" customFormat="1">
      <c r="F889" s="161"/>
      <c r="G889" s="161"/>
      <c r="I889" s="161"/>
      <c r="K889" s="161"/>
      <c r="Q889" s="143"/>
      <c r="R889" s="143"/>
      <c r="S889" s="143"/>
      <c r="T889" s="140"/>
      <c r="U889" s="140"/>
      <c r="V889" s="140"/>
      <c r="W889" s="140"/>
      <c r="X889" s="140"/>
      <c r="Y889" s="140"/>
      <c r="Z889" s="140"/>
    </row>
    <row r="890" spans="6:26" s="141" customFormat="1">
      <c r="F890" s="161"/>
      <c r="G890" s="161"/>
      <c r="I890" s="161"/>
      <c r="K890" s="161"/>
      <c r="Q890" s="143"/>
      <c r="R890" s="143"/>
      <c r="S890" s="143"/>
      <c r="T890" s="140"/>
      <c r="U890" s="140"/>
      <c r="V890" s="140"/>
      <c r="W890" s="140"/>
      <c r="X890" s="140"/>
      <c r="Y890" s="140"/>
      <c r="Z890" s="140"/>
    </row>
    <row r="891" spans="6:26" s="141" customFormat="1">
      <c r="F891" s="161"/>
      <c r="G891" s="161"/>
      <c r="I891" s="161"/>
      <c r="K891" s="161"/>
      <c r="Q891" s="143"/>
      <c r="R891" s="143"/>
      <c r="S891" s="143"/>
      <c r="T891" s="140"/>
      <c r="U891" s="140"/>
      <c r="V891" s="140"/>
      <c r="W891" s="140"/>
      <c r="X891" s="140"/>
      <c r="Y891" s="140"/>
      <c r="Z891" s="140"/>
    </row>
    <row r="892" spans="6:26" s="141" customFormat="1">
      <c r="F892" s="161"/>
      <c r="G892" s="161"/>
      <c r="I892" s="161"/>
      <c r="K892" s="161"/>
      <c r="Q892" s="143"/>
      <c r="R892" s="143"/>
      <c r="S892" s="143"/>
      <c r="T892" s="140"/>
      <c r="U892" s="140"/>
      <c r="V892" s="140"/>
      <c r="W892" s="140"/>
      <c r="X892" s="140"/>
      <c r="Y892" s="140"/>
      <c r="Z892" s="140"/>
    </row>
    <row r="893" spans="6:26" s="141" customFormat="1">
      <c r="F893" s="161"/>
      <c r="G893" s="161"/>
      <c r="I893" s="161"/>
      <c r="K893" s="161"/>
      <c r="Q893" s="143"/>
      <c r="R893" s="143"/>
      <c r="S893" s="143"/>
      <c r="T893" s="140"/>
      <c r="U893" s="140"/>
      <c r="V893" s="140"/>
      <c r="W893" s="140"/>
      <c r="X893" s="140"/>
      <c r="Y893" s="140"/>
      <c r="Z893" s="140"/>
    </row>
    <row r="894" spans="6:26" s="141" customFormat="1">
      <c r="F894" s="161"/>
      <c r="G894" s="161"/>
      <c r="I894" s="161"/>
      <c r="K894" s="161"/>
      <c r="Q894" s="143"/>
      <c r="R894" s="143"/>
      <c r="S894" s="143"/>
      <c r="T894" s="140"/>
      <c r="U894" s="140"/>
      <c r="V894" s="140"/>
      <c r="W894" s="140"/>
      <c r="X894" s="140"/>
      <c r="Y894" s="140"/>
      <c r="Z894" s="140"/>
    </row>
    <row r="895" spans="6:26" s="141" customFormat="1">
      <c r="F895" s="161"/>
      <c r="G895" s="161"/>
      <c r="I895" s="161"/>
      <c r="K895" s="161"/>
      <c r="Q895" s="143"/>
      <c r="R895" s="143"/>
      <c r="S895" s="143"/>
      <c r="T895" s="140"/>
      <c r="U895" s="140"/>
      <c r="V895" s="140"/>
      <c r="W895" s="140"/>
      <c r="X895" s="140"/>
      <c r="Y895" s="140"/>
      <c r="Z895" s="140"/>
    </row>
    <row r="896" spans="6:26" s="141" customFormat="1">
      <c r="F896" s="161"/>
      <c r="G896" s="161"/>
      <c r="I896" s="161"/>
      <c r="K896" s="161"/>
      <c r="Q896" s="143"/>
      <c r="R896" s="143"/>
      <c r="S896" s="143"/>
      <c r="T896" s="140"/>
      <c r="U896" s="140"/>
      <c r="V896" s="140"/>
      <c r="W896" s="140"/>
      <c r="X896" s="140"/>
      <c r="Y896" s="140"/>
      <c r="Z896" s="140"/>
    </row>
    <row r="897" spans="6:26" s="141" customFormat="1">
      <c r="F897" s="161"/>
      <c r="G897" s="161"/>
      <c r="I897" s="161"/>
      <c r="K897" s="161"/>
      <c r="Q897" s="143"/>
      <c r="R897" s="143"/>
      <c r="S897" s="143"/>
      <c r="T897" s="140"/>
      <c r="U897" s="140"/>
      <c r="V897" s="140"/>
      <c r="W897" s="140"/>
      <c r="X897" s="140"/>
      <c r="Y897" s="140"/>
      <c r="Z897" s="140"/>
    </row>
    <row r="898" spans="6:26" s="141" customFormat="1">
      <c r="F898" s="161"/>
      <c r="G898" s="161"/>
      <c r="I898" s="161"/>
      <c r="K898" s="161"/>
      <c r="Q898" s="143"/>
      <c r="R898" s="143"/>
      <c r="S898" s="143"/>
      <c r="T898" s="140"/>
      <c r="U898" s="140"/>
      <c r="V898" s="140"/>
      <c r="W898" s="140"/>
      <c r="X898" s="140"/>
      <c r="Y898" s="140"/>
      <c r="Z898" s="140"/>
    </row>
    <row r="899" spans="6:26" s="141" customFormat="1">
      <c r="F899" s="161"/>
      <c r="G899" s="161"/>
      <c r="I899" s="161"/>
      <c r="K899" s="161"/>
      <c r="Q899" s="143"/>
      <c r="R899" s="143"/>
      <c r="S899" s="143"/>
      <c r="T899" s="140"/>
      <c r="U899" s="140"/>
      <c r="V899" s="140"/>
      <c r="W899" s="140"/>
      <c r="X899" s="140"/>
      <c r="Y899" s="140"/>
      <c r="Z899" s="140"/>
    </row>
    <row r="900" spans="6:26" s="141" customFormat="1">
      <c r="F900" s="161"/>
      <c r="G900" s="161"/>
      <c r="I900" s="161"/>
      <c r="K900" s="161"/>
      <c r="Q900" s="143"/>
      <c r="R900" s="143"/>
      <c r="S900" s="143"/>
      <c r="T900" s="140"/>
      <c r="U900" s="140"/>
      <c r="V900" s="140"/>
      <c r="W900" s="140"/>
      <c r="X900" s="140"/>
      <c r="Y900" s="140"/>
      <c r="Z900" s="140"/>
    </row>
    <row r="901" spans="6:26" s="141" customFormat="1">
      <c r="F901" s="161"/>
      <c r="G901" s="161"/>
      <c r="I901" s="161"/>
      <c r="K901" s="161"/>
      <c r="Q901" s="143"/>
      <c r="R901" s="143"/>
      <c r="S901" s="143"/>
      <c r="T901" s="140"/>
      <c r="U901" s="140"/>
      <c r="V901" s="140"/>
      <c r="W901" s="140"/>
      <c r="X901" s="140"/>
      <c r="Y901" s="140"/>
      <c r="Z901" s="140"/>
    </row>
    <row r="902" spans="6:26" s="141" customFormat="1">
      <c r="F902" s="161"/>
      <c r="G902" s="161"/>
      <c r="I902" s="161"/>
      <c r="K902" s="161"/>
      <c r="Q902" s="143"/>
      <c r="R902" s="143"/>
      <c r="S902" s="143"/>
      <c r="T902" s="140"/>
      <c r="U902" s="140"/>
      <c r="V902" s="140"/>
      <c r="W902" s="140"/>
      <c r="X902" s="140"/>
      <c r="Y902" s="140"/>
      <c r="Z902" s="140"/>
    </row>
    <row r="903" spans="6:26" s="141" customFormat="1">
      <c r="F903" s="161"/>
      <c r="G903" s="161"/>
      <c r="I903" s="161"/>
      <c r="K903" s="161"/>
      <c r="Q903" s="143"/>
      <c r="R903" s="143"/>
      <c r="S903" s="143"/>
      <c r="T903" s="140"/>
      <c r="U903" s="140"/>
      <c r="V903" s="140"/>
      <c r="W903" s="140"/>
      <c r="X903" s="140"/>
      <c r="Y903" s="140"/>
      <c r="Z903" s="140"/>
    </row>
    <row r="904" spans="6:26" s="141" customFormat="1">
      <c r="F904" s="161"/>
      <c r="G904" s="161"/>
      <c r="I904" s="161"/>
      <c r="K904" s="161"/>
      <c r="Q904" s="143"/>
      <c r="R904" s="143"/>
      <c r="S904" s="143"/>
      <c r="T904" s="140"/>
      <c r="U904" s="140"/>
      <c r="V904" s="140"/>
      <c r="W904" s="140"/>
      <c r="X904" s="140"/>
      <c r="Y904" s="140"/>
      <c r="Z904" s="140"/>
    </row>
    <row r="905" spans="6:26" s="141" customFormat="1">
      <c r="F905" s="161"/>
      <c r="G905" s="161"/>
      <c r="I905" s="161"/>
      <c r="K905" s="161"/>
      <c r="Q905" s="143"/>
      <c r="R905" s="143"/>
      <c r="S905" s="143"/>
      <c r="T905" s="140"/>
      <c r="U905" s="140"/>
      <c r="V905" s="140"/>
      <c r="W905" s="140"/>
      <c r="X905" s="140"/>
      <c r="Y905" s="140"/>
      <c r="Z905" s="140"/>
    </row>
    <row r="906" spans="6:26" s="141" customFormat="1">
      <c r="F906" s="161"/>
      <c r="G906" s="161"/>
      <c r="I906" s="161"/>
      <c r="K906" s="161"/>
      <c r="Q906" s="143"/>
      <c r="R906" s="143"/>
      <c r="S906" s="143"/>
      <c r="T906" s="140"/>
      <c r="U906" s="140"/>
      <c r="V906" s="140"/>
      <c r="W906" s="140"/>
      <c r="X906" s="140"/>
      <c r="Y906" s="140"/>
      <c r="Z906" s="140"/>
    </row>
    <row r="907" spans="6:26" s="141" customFormat="1">
      <c r="F907" s="161"/>
      <c r="G907" s="161"/>
      <c r="I907" s="161"/>
      <c r="K907" s="161"/>
      <c r="Q907" s="143"/>
      <c r="R907" s="143"/>
      <c r="S907" s="143"/>
      <c r="T907" s="140"/>
      <c r="U907" s="140"/>
      <c r="V907" s="140"/>
      <c r="W907" s="140"/>
      <c r="X907" s="140"/>
      <c r="Y907" s="140"/>
      <c r="Z907" s="140"/>
    </row>
    <row r="908" spans="6:26" s="141" customFormat="1">
      <c r="F908" s="161"/>
      <c r="G908" s="161"/>
      <c r="I908" s="161"/>
      <c r="K908" s="161"/>
      <c r="Q908" s="143"/>
      <c r="R908" s="143"/>
      <c r="S908" s="143"/>
      <c r="T908" s="140"/>
      <c r="U908" s="140"/>
      <c r="V908" s="140"/>
      <c r="W908" s="140"/>
      <c r="X908" s="140"/>
      <c r="Y908" s="140"/>
      <c r="Z908" s="140"/>
    </row>
    <row r="909" spans="6:26" s="141" customFormat="1">
      <c r="F909" s="161"/>
      <c r="G909" s="161"/>
      <c r="I909" s="161"/>
      <c r="K909" s="161"/>
      <c r="Q909" s="143"/>
      <c r="R909" s="143"/>
      <c r="S909" s="143"/>
      <c r="T909" s="140"/>
      <c r="U909" s="140"/>
      <c r="V909" s="140"/>
      <c r="W909" s="140"/>
      <c r="X909" s="140"/>
      <c r="Y909" s="140"/>
      <c r="Z909" s="140"/>
    </row>
    <row r="910" spans="6:26" s="141" customFormat="1">
      <c r="F910" s="161"/>
      <c r="G910" s="161"/>
      <c r="I910" s="161"/>
      <c r="K910" s="161"/>
      <c r="Q910" s="143"/>
      <c r="R910" s="143"/>
      <c r="S910" s="143"/>
      <c r="T910" s="140"/>
      <c r="U910" s="140"/>
      <c r="V910" s="140"/>
      <c r="W910" s="140"/>
      <c r="X910" s="140"/>
      <c r="Y910" s="140"/>
      <c r="Z910" s="140"/>
    </row>
    <row r="911" spans="6:26" s="141" customFormat="1">
      <c r="F911" s="161"/>
      <c r="G911" s="161"/>
      <c r="I911" s="161"/>
      <c r="K911" s="161"/>
      <c r="Q911" s="143"/>
      <c r="R911" s="143"/>
      <c r="S911" s="143"/>
      <c r="T911" s="140"/>
      <c r="U911" s="140"/>
      <c r="V911" s="140"/>
      <c r="W911" s="140"/>
      <c r="X911" s="140"/>
      <c r="Y911" s="140"/>
      <c r="Z911" s="140"/>
    </row>
    <row r="912" spans="6:26" s="141" customFormat="1">
      <c r="F912" s="161"/>
      <c r="G912" s="161"/>
      <c r="I912" s="161"/>
      <c r="K912" s="161"/>
      <c r="Q912" s="143"/>
      <c r="R912" s="143"/>
      <c r="S912" s="143"/>
      <c r="T912" s="140"/>
      <c r="U912" s="140"/>
      <c r="V912" s="140"/>
      <c r="W912" s="140"/>
      <c r="X912" s="140"/>
      <c r="Y912" s="140"/>
      <c r="Z912" s="140"/>
    </row>
    <row r="913" spans="6:26" s="141" customFormat="1">
      <c r="F913" s="161"/>
      <c r="G913" s="161"/>
      <c r="I913" s="161"/>
      <c r="K913" s="161"/>
      <c r="Q913" s="143"/>
      <c r="R913" s="143"/>
      <c r="S913" s="143"/>
      <c r="T913" s="140"/>
      <c r="U913" s="140"/>
      <c r="V913" s="140"/>
      <c r="W913" s="140"/>
      <c r="X913" s="140"/>
      <c r="Y913" s="140"/>
      <c r="Z913" s="140"/>
    </row>
    <row r="914" spans="6:26" s="141" customFormat="1">
      <c r="F914" s="161"/>
      <c r="G914" s="161"/>
      <c r="I914" s="161"/>
      <c r="K914" s="161"/>
      <c r="Q914" s="143"/>
      <c r="R914" s="143"/>
      <c r="S914" s="143"/>
      <c r="T914" s="140"/>
      <c r="U914" s="140"/>
      <c r="V914" s="140"/>
      <c r="W914" s="140"/>
      <c r="X914" s="140"/>
      <c r="Y914" s="140"/>
      <c r="Z914" s="140"/>
    </row>
    <row r="915" spans="6:26" s="141" customFormat="1">
      <c r="F915" s="161"/>
      <c r="G915" s="161"/>
      <c r="I915" s="161"/>
      <c r="K915" s="161"/>
      <c r="Q915" s="143"/>
      <c r="R915" s="143"/>
      <c r="S915" s="143"/>
      <c r="T915" s="140"/>
      <c r="U915" s="140"/>
      <c r="V915" s="140"/>
      <c r="W915" s="140"/>
      <c r="X915" s="140"/>
      <c r="Y915" s="140"/>
      <c r="Z915" s="140"/>
    </row>
    <row r="916" spans="6:26" s="141" customFormat="1">
      <c r="F916" s="161"/>
      <c r="G916" s="161"/>
      <c r="I916" s="161"/>
      <c r="K916" s="161"/>
      <c r="Q916" s="143"/>
      <c r="R916" s="143"/>
      <c r="S916" s="143"/>
      <c r="T916" s="140"/>
      <c r="U916" s="140"/>
      <c r="V916" s="140"/>
      <c r="W916" s="140"/>
      <c r="X916" s="140"/>
      <c r="Y916" s="140"/>
      <c r="Z916" s="140"/>
    </row>
    <row r="917" spans="6:26" s="141" customFormat="1">
      <c r="F917" s="161"/>
      <c r="G917" s="161"/>
      <c r="I917" s="161"/>
      <c r="K917" s="161"/>
      <c r="Q917" s="143"/>
      <c r="R917" s="143"/>
      <c r="S917" s="143"/>
      <c r="T917" s="140"/>
      <c r="U917" s="140"/>
      <c r="V917" s="140"/>
      <c r="W917" s="140"/>
      <c r="X917" s="140"/>
      <c r="Y917" s="140"/>
      <c r="Z917" s="140"/>
    </row>
    <row r="918" spans="6:26" s="141" customFormat="1">
      <c r="F918" s="161"/>
      <c r="G918" s="161"/>
      <c r="I918" s="161"/>
      <c r="K918" s="161"/>
      <c r="Q918" s="143"/>
      <c r="R918" s="143"/>
      <c r="S918" s="143"/>
      <c r="T918" s="140"/>
      <c r="U918" s="140"/>
      <c r="V918" s="140"/>
      <c r="W918" s="140"/>
      <c r="X918" s="140"/>
      <c r="Y918" s="140"/>
      <c r="Z918" s="140"/>
    </row>
    <row r="919" spans="6:26" s="141" customFormat="1">
      <c r="F919" s="161"/>
      <c r="G919" s="161"/>
      <c r="I919" s="161"/>
      <c r="K919" s="161"/>
      <c r="Q919" s="143"/>
      <c r="R919" s="143"/>
      <c r="S919" s="143"/>
      <c r="T919" s="140"/>
      <c r="U919" s="140"/>
      <c r="V919" s="140"/>
      <c r="W919" s="140"/>
      <c r="X919" s="140"/>
      <c r="Y919" s="140"/>
      <c r="Z919" s="140"/>
    </row>
    <row r="920" spans="6:26" s="141" customFormat="1">
      <c r="F920" s="161"/>
      <c r="G920" s="161"/>
      <c r="I920" s="161"/>
      <c r="K920" s="161"/>
      <c r="Q920" s="143"/>
      <c r="R920" s="143"/>
      <c r="S920" s="143"/>
      <c r="T920" s="140"/>
      <c r="U920" s="140"/>
      <c r="V920" s="140"/>
      <c r="W920" s="140"/>
      <c r="X920" s="140"/>
      <c r="Y920" s="140"/>
      <c r="Z920" s="140"/>
    </row>
    <row r="921" spans="6:26" s="141" customFormat="1">
      <c r="F921" s="161"/>
      <c r="G921" s="161"/>
      <c r="I921" s="161"/>
      <c r="K921" s="161"/>
      <c r="Q921" s="143"/>
      <c r="R921" s="143"/>
      <c r="S921" s="143"/>
      <c r="T921" s="140"/>
      <c r="U921" s="140"/>
      <c r="V921" s="140"/>
      <c r="W921" s="140"/>
      <c r="X921" s="140"/>
      <c r="Y921" s="140"/>
      <c r="Z921" s="140"/>
    </row>
    <row r="922" spans="6:26" s="141" customFormat="1">
      <c r="F922" s="161"/>
      <c r="G922" s="161"/>
      <c r="I922" s="161"/>
      <c r="K922" s="161"/>
      <c r="Q922" s="143"/>
      <c r="R922" s="143"/>
      <c r="S922" s="143"/>
      <c r="T922" s="140"/>
      <c r="U922" s="140"/>
      <c r="V922" s="140"/>
      <c r="W922" s="140"/>
      <c r="X922" s="140"/>
      <c r="Y922" s="140"/>
      <c r="Z922" s="140"/>
    </row>
    <row r="923" spans="6:26" s="141" customFormat="1">
      <c r="F923" s="161"/>
      <c r="G923" s="161"/>
      <c r="I923" s="161"/>
      <c r="K923" s="161"/>
      <c r="Q923" s="143"/>
      <c r="R923" s="143"/>
      <c r="S923" s="143"/>
      <c r="T923" s="140"/>
      <c r="U923" s="140"/>
      <c r="V923" s="140"/>
      <c r="W923" s="140"/>
      <c r="X923" s="140"/>
      <c r="Y923" s="140"/>
      <c r="Z923" s="140"/>
    </row>
    <row r="924" spans="6:26" s="141" customFormat="1">
      <c r="F924" s="161"/>
      <c r="G924" s="161"/>
      <c r="I924" s="161"/>
      <c r="K924" s="161"/>
      <c r="Q924" s="143"/>
      <c r="R924" s="143"/>
      <c r="S924" s="143"/>
      <c r="T924" s="140"/>
      <c r="U924" s="140"/>
      <c r="V924" s="140"/>
      <c r="W924" s="140"/>
      <c r="X924" s="140"/>
      <c r="Y924" s="140"/>
      <c r="Z924" s="140"/>
    </row>
    <row r="925" spans="6:26" s="141" customFormat="1">
      <c r="F925" s="161"/>
      <c r="G925" s="161"/>
      <c r="I925" s="161"/>
      <c r="K925" s="161"/>
      <c r="Q925" s="143"/>
      <c r="R925" s="143"/>
      <c r="S925" s="143"/>
      <c r="T925" s="140"/>
      <c r="U925" s="140"/>
      <c r="V925" s="140"/>
      <c r="W925" s="140"/>
      <c r="X925" s="140"/>
      <c r="Y925" s="140"/>
      <c r="Z925" s="140"/>
    </row>
    <row r="926" spans="6:26" s="141" customFormat="1">
      <c r="F926" s="161"/>
      <c r="G926" s="161"/>
      <c r="I926" s="161"/>
      <c r="K926" s="161"/>
      <c r="Q926" s="143"/>
      <c r="R926" s="143"/>
      <c r="S926" s="143"/>
      <c r="T926" s="140"/>
      <c r="U926" s="140"/>
      <c r="V926" s="140"/>
      <c r="W926" s="140"/>
      <c r="X926" s="140"/>
      <c r="Y926" s="140"/>
      <c r="Z926" s="140"/>
    </row>
    <row r="927" spans="6:26" s="141" customFormat="1">
      <c r="F927" s="161"/>
      <c r="G927" s="161"/>
      <c r="I927" s="161"/>
      <c r="K927" s="161"/>
      <c r="Q927" s="143"/>
      <c r="R927" s="143"/>
      <c r="S927" s="143"/>
      <c r="T927" s="140"/>
      <c r="U927" s="140"/>
      <c r="V927" s="140"/>
      <c r="W927" s="140"/>
      <c r="X927" s="140"/>
      <c r="Y927" s="140"/>
      <c r="Z927" s="140"/>
    </row>
    <row r="928" spans="6:26" s="141" customFormat="1">
      <c r="F928" s="161"/>
      <c r="G928" s="161"/>
      <c r="I928" s="161"/>
      <c r="K928" s="161"/>
      <c r="Q928" s="143"/>
      <c r="R928" s="143"/>
      <c r="S928" s="143"/>
      <c r="T928" s="140"/>
      <c r="U928" s="140"/>
      <c r="V928" s="140"/>
      <c r="W928" s="140"/>
      <c r="X928" s="140"/>
      <c r="Y928" s="140"/>
      <c r="Z928" s="140"/>
    </row>
    <row r="929" spans="6:26" s="141" customFormat="1">
      <c r="F929" s="161"/>
      <c r="G929" s="161"/>
      <c r="I929" s="161"/>
      <c r="K929" s="161"/>
      <c r="Q929" s="143"/>
      <c r="R929" s="143"/>
      <c r="S929" s="143"/>
      <c r="T929" s="140"/>
      <c r="U929" s="140"/>
      <c r="V929" s="140"/>
      <c r="W929" s="140"/>
      <c r="X929" s="140"/>
      <c r="Y929" s="140"/>
      <c r="Z929" s="140"/>
    </row>
    <row r="930" spans="6:26" s="141" customFormat="1">
      <c r="F930" s="161"/>
      <c r="G930" s="161"/>
      <c r="I930" s="161"/>
      <c r="K930" s="161"/>
      <c r="Q930" s="143"/>
      <c r="R930" s="143"/>
      <c r="S930" s="143"/>
      <c r="T930" s="140"/>
      <c r="U930" s="140"/>
      <c r="V930" s="140"/>
      <c r="W930" s="140"/>
      <c r="X930" s="140"/>
      <c r="Y930" s="140"/>
      <c r="Z930" s="140"/>
    </row>
    <row r="931" spans="6:26" s="141" customFormat="1">
      <c r="F931" s="161"/>
      <c r="G931" s="161"/>
      <c r="I931" s="161"/>
      <c r="K931" s="161"/>
      <c r="Q931" s="143"/>
      <c r="R931" s="143"/>
      <c r="S931" s="143"/>
      <c r="T931" s="140"/>
      <c r="U931" s="140"/>
      <c r="V931" s="140"/>
      <c r="W931" s="140"/>
      <c r="X931" s="140"/>
      <c r="Y931" s="140"/>
      <c r="Z931" s="140"/>
    </row>
    <row r="932" spans="6:26" s="141" customFormat="1">
      <c r="F932" s="161"/>
      <c r="G932" s="161"/>
      <c r="I932" s="161"/>
      <c r="K932" s="161"/>
      <c r="Q932" s="143"/>
      <c r="R932" s="143"/>
      <c r="S932" s="143"/>
      <c r="T932" s="140"/>
      <c r="U932" s="140"/>
      <c r="V932" s="140"/>
      <c r="W932" s="140"/>
      <c r="X932" s="140"/>
      <c r="Y932" s="140"/>
      <c r="Z932" s="140"/>
    </row>
    <row r="933" spans="6:26" s="141" customFormat="1">
      <c r="F933" s="161"/>
      <c r="G933" s="161"/>
      <c r="I933" s="161"/>
      <c r="K933" s="161"/>
      <c r="Q933" s="143"/>
      <c r="R933" s="143"/>
      <c r="S933" s="143"/>
      <c r="T933" s="140"/>
      <c r="U933" s="140"/>
      <c r="V933" s="140"/>
      <c r="W933" s="140"/>
      <c r="X933" s="140"/>
      <c r="Y933" s="140"/>
      <c r="Z933" s="140"/>
    </row>
    <row r="934" spans="6:26" s="141" customFormat="1">
      <c r="F934" s="161"/>
      <c r="G934" s="161"/>
      <c r="I934" s="161"/>
      <c r="K934" s="161"/>
      <c r="Q934" s="143"/>
      <c r="R934" s="143"/>
      <c r="S934" s="143"/>
      <c r="T934" s="140"/>
      <c r="U934" s="140"/>
      <c r="V934" s="140"/>
      <c r="W934" s="140"/>
      <c r="X934" s="140"/>
      <c r="Y934" s="140"/>
      <c r="Z934" s="140"/>
    </row>
    <row r="935" spans="6:26" s="141" customFormat="1">
      <c r="F935" s="161"/>
      <c r="G935" s="161"/>
      <c r="I935" s="161"/>
      <c r="K935" s="161"/>
      <c r="Q935" s="143"/>
      <c r="R935" s="143"/>
      <c r="S935" s="143"/>
      <c r="T935" s="140"/>
      <c r="U935" s="140"/>
      <c r="V935" s="140"/>
      <c r="W935" s="140"/>
      <c r="X935" s="140"/>
      <c r="Y935" s="140"/>
      <c r="Z935" s="140"/>
    </row>
    <row r="936" spans="6:26" s="141" customFormat="1">
      <c r="F936" s="161"/>
      <c r="G936" s="161"/>
      <c r="I936" s="161"/>
      <c r="K936" s="161"/>
      <c r="Q936" s="143"/>
      <c r="R936" s="143"/>
      <c r="S936" s="143"/>
      <c r="T936" s="140"/>
      <c r="U936" s="140"/>
      <c r="V936" s="140"/>
      <c r="W936" s="140"/>
      <c r="X936" s="140"/>
      <c r="Y936" s="140"/>
      <c r="Z936" s="140"/>
    </row>
    <row r="937" spans="6:26" s="141" customFormat="1">
      <c r="F937" s="161"/>
      <c r="G937" s="161"/>
      <c r="I937" s="161"/>
      <c r="K937" s="161"/>
      <c r="Q937" s="143"/>
      <c r="R937" s="143"/>
      <c r="S937" s="143"/>
      <c r="T937" s="140"/>
      <c r="U937" s="140"/>
      <c r="V937" s="140"/>
      <c r="W937" s="140"/>
      <c r="X937" s="140"/>
      <c r="Y937" s="140"/>
      <c r="Z937" s="140"/>
    </row>
    <row r="938" spans="6:26" s="141" customFormat="1">
      <c r="F938" s="161"/>
      <c r="G938" s="161"/>
      <c r="I938" s="161"/>
      <c r="K938" s="161"/>
      <c r="Q938" s="143"/>
      <c r="R938" s="143"/>
      <c r="S938" s="143"/>
      <c r="T938" s="140"/>
      <c r="U938" s="140"/>
      <c r="V938" s="140"/>
      <c r="W938" s="140"/>
      <c r="X938" s="140"/>
      <c r="Y938" s="140"/>
      <c r="Z938" s="140"/>
    </row>
    <row r="939" spans="6:26" s="141" customFormat="1">
      <c r="F939" s="161"/>
      <c r="G939" s="161"/>
      <c r="I939" s="161"/>
      <c r="K939" s="161"/>
      <c r="Q939" s="143"/>
      <c r="R939" s="143"/>
      <c r="S939" s="143"/>
      <c r="T939" s="140"/>
      <c r="U939" s="140"/>
      <c r="V939" s="140"/>
      <c r="W939" s="140"/>
      <c r="X939" s="140"/>
      <c r="Y939" s="140"/>
      <c r="Z939" s="140"/>
    </row>
    <row r="940" spans="6:26" s="141" customFormat="1">
      <c r="F940" s="161"/>
      <c r="G940" s="161"/>
      <c r="I940" s="161"/>
      <c r="K940" s="161"/>
      <c r="Q940" s="143"/>
      <c r="R940" s="143"/>
      <c r="S940" s="143"/>
      <c r="T940" s="140"/>
      <c r="U940" s="140"/>
      <c r="V940" s="140"/>
      <c r="W940" s="140"/>
      <c r="X940" s="140"/>
      <c r="Y940" s="140"/>
      <c r="Z940" s="140"/>
    </row>
    <row r="941" spans="6:26" s="141" customFormat="1">
      <c r="F941" s="161"/>
      <c r="G941" s="161"/>
      <c r="I941" s="161"/>
      <c r="K941" s="161"/>
      <c r="Q941" s="143"/>
      <c r="R941" s="143"/>
      <c r="S941" s="143"/>
      <c r="T941" s="140"/>
      <c r="U941" s="140"/>
      <c r="V941" s="140"/>
      <c r="W941" s="140"/>
      <c r="X941" s="140"/>
      <c r="Y941" s="140"/>
      <c r="Z941" s="140"/>
    </row>
    <row r="942" spans="6:26" s="141" customFormat="1">
      <c r="F942" s="161"/>
      <c r="G942" s="161"/>
      <c r="I942" s="161"/>
      <c r="K942" s="161"/>
      <c r="Q942" s="143"/>
      <c r="R942" s="143"/>
      <c r="S942" s="143"/>
      <c r="T942" s="140"/>
      <c r="U942" s="140"/>
      <c r="V942" s="140"/>
      <c r="W942" s="140"/>
      <c r="X942" s="140"/>
      <c r="Y942" s="140"/>
      <c r="Z942" s="140"/>
    </row>
    <row r="943" spans="6:26" s="141" customFormat="1">
      <c r="F943" s="161"/>
      <c r="G943" s="161"/>
      <c r="I943" s="161"/>
      <c r="K943" s="161"/>
      <c r="Q943" s="143"/>
      <c r="R943" s="143"/>
      <c r="S943" s="143"/>
      <c r="T943" s="140"/>
      <c r="U943" s="140"/>
      <c r="V943" s="140"/>
      <c r="W943" s="140"/>
      <c r="X943" s="140"/>
      <c r="Y943" s="140"/>
      <c r="Z943" s="140"/>
    </row>
    <row r="944" spans="6:26" s="141" customFormat="1">
      <c r="F944" s="161"/>
      <c r="G944" s="161"/>
      <c r="I944" s="161"/>
      <c r="K944" s="161"/>
      <c r="Q944" s="143"/>
      <c r="R944" s="143"/>
      <c r="S944" s="143"/>
      <c r="T944" s="140"/>
      <c r="U944" s="140"/>
      <c r="V944" s="140"/>
      <c r="W944" s="140"/>
      <c r="X944" s="140"/>
      <c r="Y944" s="140"/>
      <c r="Z944" s="140"/>
    </row>
    <row r="945" spans="6:26" s="141" customFormat="1">
      <c r="F945" s="161"/>
      <c r="G945" s="161"/>
      <c r="I945" s="161"/>
      <c r="K945" s="161"/>
      <c r="Q945" s="143"/>
      <c r="R945" s="143"/>
      <c r="S945" s="143"/>
      <c r="T945" s="140"/>
      <c r="U945" s="140"/>
      <c r="V945" s="140"/>
      <c r="W945" s="140"/>
      <c r="X945" s="140"/>
      <c r="Y945" s="140"/>
      <c r="Z945" s="140"/>
    </row>
    <row r="946" spans="6:26" s="141" customFormat="1">
      <c r="F946" s="161"/>
      <c r="G946" s="161"/>
      <c r="I946" s="161"/>
      <c r="K946" s="161"/>
      <c r="Q946" s="143"/>
      <c r="R946" s="143"/>
      <c r="S946" s="143"/>
      <c r="T946" s="140"/>
      <c r="U946" s="140"/>
      <c r="V946" s="140"/>
      <c r="W946" s="140"/>
      <c r="X946" s="140"/>
      <c r="Y946" s="140"/>
      <c r="Z946" s="140"/>
    </row>
    <row r="947" spans="6:26" s="141" customFormat="1">
      <c r="F947" s="161"/>
      <c r="G947" s="161"/>
      <c r="I947" s="161"/>
      <c r="K947" s="161"/>
      <c r="Q947" s="143"/>
      <c r="R947" s="143"/>
      <c r="S947" s="143"/>
      <c r="T947" s="140"/>
      <c r="U947" s="140"/>
      <c r="V947" s="140"/>
      <c r="W947" s="140"/>
      <c r="X947" s="140"/>
      <c r="Y947" s="140"/>
      <c r="Z947" s="140"/>
    </row>
    <row r="948" spans="6:26" s="141" customFormat="1">
      <c r="F948" s="161"/>
      <c r="G948" s="161"/>
      <c r="I948" s="161"/>
      <c r="K948" s="161"/>
      <c r="Q948" s="143"/>
      <c r="R948" s="143"/>
      <c r="S948" s="143"/>
      <c r="T948" s="140"/>
      <c r="U948" s="140"/>
      <c r="V948" s="140"/>
      <c r="W948" s="140"/>
      <c r="X948" s="140"/>
      <c r="Y948" s="140"/>
      <c r="Z948" s="140"/>
    </row>
    <row r="949" spans="6:26" s="141" customFormat="1">
      <c r="F949" s="161"/>
      <c r="G949" s="161"/>
      <c r="I949" s="161"/>
      <c r="K949" s="161"/>
      <c r="Q949" s="143"/>
      <c r="R949" s="143"/>
      <c r="S949" s="143"/>
      <c r="T949" s="140"/>
      <c r="U949" s="140"/>
      <c r="V949" s="140"/>
      <c r="W949" s="140"/>
      <c r="X949" s="140"/>
      <c r="Y949" s="140"/>
      <c r="Z949" s="140"/>
    </row>
    <row r="950" spans="6:26" s="141" customFormat="1">
      <c r="F950" s="161"/>
      <c r="G950" s="161"/>
      <c r="I950" s="161"/>
      <c r="K950" s="161"/>
      <c r="Q950" s="143"/>
      <c r="R950" s="143"/>
      <c r="S950" s="143"/>
      <c r="T950" s="140"/>
      <c r="U950" s="140"/>
      <c r="V950" s="140"/>
      <c r="W950" s="140"/>
      <c r="X950" s="140"/>
      <c r="Y950" s="140"/>
      <c r="Z950" s="140"/>
    </row>
    <row r="951" spans="6:26" s="141" customFormat="1">
      <c r="F951" s="161"/>
      <c r="G951" s="161"/>
      <c r="I951" s="161"/>
      <c r="K951" s="161"/>
      <c r="Q951" s="143"/>
      <c r="R951" s="143"/>
      <c r="S951" s="143"/>
      <c r="T951" s="140"/>
      <c r="U951" s="140"/>
      <c r="V951" s="140"/>
      <c r="W951" s="140"/>
      <c r="X951" s="140"/>
      <c r="Y951" s="140"/>
      <c r="Z951" s="140"/>
    </row>
    <row r="952" spans="6:26" s="141" customFormat="1">
      <c r="F952" s="161"/>
      <c r="G952" s="161"/>
      <c r="I952" s="161"/>
      <c r="K952" s="161"/>
      <c r="Q952" s="143"/>
      <c r="R952" s="143"/>
      <c r="S952" s="143"/>
      <c r="T952" s="140"/>
      <c r="U952" s="140"/>
      <c r="V952" s="140"/>
      <c r="W952" s="140"/>
      <c r="X952" s="140"/>
      <c r="Y952" s="140"/>
      <c r="Z952" s="140"/>
    </row>
    <row r="953" spans="6:26" s="141" customFormat="1">
      <c r="F953" s="161"/>
      <c r="G953" s="161"/>
      <c r="I953" s="161"/>
      <c r="K953" s="161"/>
      <c r="Q953" s="143"/>
      <c r="R953" s="143"/>
      <c r="S953" s="143"/>
      <c r="T953" s="140"/>
      <c r="U953" s="140"/>
      <c r="V953" s="140"/>
      <c r="W953" s="140"/>
      <c r="X953" s="140"/>
      <c r="Y953" s="140"/>
      <c r="Z953" s="140"/>
    </row>
    <row r="954" spans="6:26" s="141" customFormat="1">
      <c r="F954" s="161"/>
      <c r="G954" s="161"/>
      <c r="I954" s="161"/>
      <c r="K954" s="161"/>
      <c r="Q954" s="143"/>
      <c r="R954" s="143"/>
      <c r="S954" s="143"/>
      <c r="T954" s="140"/>
      <c r="U954" s="140"/>
      <c r="V954" s="140"/>
      <c r="W954" s="140"/>
      <c r="X954" s="140"/>
      <c r="Y954" s="140"/>
      <c r="Z954" s="140"/>
    </row>
    <row r="955" spans="6:26" s="141" customFormat="1">
      <c r="F955" s="161"/>
      <c r="G955" s="161"/>
      <c r="I955" s="161"/>
      <c r="K955" s="161"/>
      <c r="Q955" s="143"/>
      <c r="R955" s="143"/>
      <c r="S955" s="143"/>
      <c r="T955" s="140"/>
      <c r="U955" s="140"/>
      <c r="V955" s="140"/>
      <c r="W955" s="140"/>
      <c r="X955" s="140"/>
      <c r="Y955" s="140"/>
      <c r="Z955" s="140"/>
    </row>
    <row r="956" spans="6:26" s="141" customFormat="1">
      <c r="F956" s="161"/>
      <c r="G956" s="161"/>
      <c r="I956" s="161"/>
      <c r="K956" s="161"/>
      <c r="Q956" s="143"/>
      <c r="R956" s="143"/>
      <c r="S956" s="143"/>
      <c r="T956" s="140"/>
      <c r="U956" s="140"/>
      <c r="V956" s="140"/>
      <c r="W956" s="140"/>
      <c r="X956" s="140"/>
      <c r="Y956" s="140"/>
      <c r="Z956" s="140"/>
    </row>
    <row r="957" spans="6:26" s="141" customFormat="1">
      <c r="F957" s="161"/>
      <c r="G957" s="161"/>
      <c r="I957" s="161"/>
      <c r="K957" s="161"/>
      <c r="Q957" s="143"/>
      <c r="R957" s="143"/>
      <c r="S957" s="143"/>
      <c r="T957" s="140"/>
      <c r="U957" s="140"/>
      <c r="V957" s="140"/>
      <c r="W957" s="140"/>
      <c r="X957" s="140"/>
      <c r="Y957" s="140"/>
      <c r="Z957" s="140"/>
    </row>
    <row r="958" spans="6:26" s="141" customFormat="1">
      <c r="F958" s="161"/>
      <c r="G958" s="161"/>
      <c r="I958" s="161"/>
      <c r="K958" s="161"/>
      <c r="Q958" s="143"/>
      <c r="R958" s="143"/>
      <c r="S958" s="143"/>
      <c r="T958" s="140"/>
      <c r="U958" s="140"/>
      <c r="V958" s="140"/>
      <c r="W958" s="140"/>
      <c r="X958" s="140"/>
      <c r="Y958" s="140"/>
      <c r="Z958" s="140"/>
    </row>
    <row r="959" spans="6:26" s="141" customFormat="1">
      <c r="F959" s="161"/>
      <c r="G959" s="161"/>
      <c r="I959" s="161"/>
      <c r="K959" s="161"/>
      <c r="Q959" s="143"/>
      <c r="R959" s="143"/>
      <c r="S959" s="143"/>
      <c r="T959" s="140"/>
      <c r="U959" s="140"/>
      <c r="V959" s="140"/>
      <c r="W959" s="140"/>
      <c r="X959" s="140"/>
      <c r="Y959" s="140"/>
      <c r="Z959" s="140"/>
    </row>
    <row r="960" spans="6:26" s="141" customFormat="1">
      <c r="F960" s="161"/>
      <c r="G960" s="161"/>
      <c r="I960" s="161"/>
      <c r="K960" s="161"/>
      <c r="Q960" s="143"/>
      <c r="R960" s="143"/>
      <c r="S960" s="143"/>
      <c r="T960" s="140"/>
      <c r="U960" s="140"/>
      <c r="V960" s="140"/>
      <c r="W960" s="140"/>
      <c r="X960" s="140"/>
      <c r="Y960" s="140"/>
      <c r="Z960" s="140"/>
    </row>
    <row r="961" spans="6:26" s="141" customFormat="1">
      <c r="F961" s="161"/>
      <c r="G961" s="161"/>
      <c r="I961" s="161"/>
      <c r="K961" s="161"/>
      <c r="Q961" s="143"/>
      <c r="R961" s="143"/>
      <c r="S961" s="143"/>
      <c r="T961" s="140"/>
      <c r="U961" s="140"/>
      <c r="V961" s="140"/>
      <c r="W961" s="140"/>
      <c r="X961" s="140"/>
      <c r="Y961" s="140"/>
      <c r="Z961" s="140"/>
    </row>
    <row r="962" spans="6:26" s="141" customFormat="1">
      <c r="F962" s="161"/>
      <c r="G962" s="161"/>
      <c r="I962" s="161"/>
      <c r="K962" s="161"/>
      <c r="Q962" s="143"/>
      <c r="R962" s="143"/>
      <c r="S962" s="143"/>
      <c r="T962" s="140"/>
      <c r="U962" s="140"/>
      <c r="V962" s="140"/>
      <c r="W962" s="140"/>
      <c r="X962" s="140"/>
      <c r="Y962" s="140"/>
      <c r="Z962" s="140"/>
    </row>
    <row r="963" spans="6:26" s="141" customFormat="1">
      <c r="F963" s="161"/>
      <c r="G963" s="161"/>
      <c r="I963" s="161"/>
      <c r="K963" s="161"/>
      <c r="Q963" s="143"/>
      <c r="R963" s="143"/>
      <c r="S963" s="143"/>
      <c r="T963" s="140"/>
      <c r="U963" s="140"/>
      <c r="V963" s="140"/>
      <c r="W963" s="140"/>
      <c r="X963" s="140"/>
      <c r="Y963" s="140"/>
      <c r="Z963" s="140"/>
    </row>
    <row r="964" spans="6:26" s="141" customFormat="1">
      <c r="F964" s="161"/>
      <c r="G964" s="161"/>
      <c r="I964" s="161"/>
      <c r="K964" s="161"/>
      <c r="Q964" s="143"/>
      <c r="R964" s="143"/>
      <c r="S964" s="143"/>
      <c r="T964" s="140"/>
      <c r="U964" s="140"/>
      <c r="V964" s="140"/>
      <c r="W964" s="140"/>
      <c r="X964" s="140"/>
      <c r="Y964" s="140"/>
      <c r="Z964" s="140"/>
    </row>
    <row r="965" spans="6:26" s="141" customFormat="1">
      <c r="F965" s="161"/>
      <c r="G965" s="161"/>
      <c r="I965" s="161"/>
      <c r="K965" s="161"/>
      <c r="Q965" s="143"/>
      <c r="R965" s="143"/>
      <c r="S965" s="143"/>
      <c r="T965" s="140"/>
      <c r="U965" s="140"/>
      <c r="V965" s="140"/>
      <c r="W965" s="140"/>
      <c r="X965" s="140"/>
      <c r="Y965" s="140"/>
      <c r="Z965" s="140"/>
    </row>
    <row r="966" spans="6:26" s="141" customFormat="1">
      <c r="F966" s="161"/>
      <c r="G966" s="161"/>
      <c r="I966" s="161"/>
      <c r="K966" s="161"/>
      <c r="Q966" s="143"/>
      <c r="R966" s="143"/>
      <c r="S966" s="143"/>
      <c r="T966" s="140"/>
      <c r="U966" s="140"/>
      <c r="V966" s="140"/>
      <c r="W966" s="140"/>
      <c r="X966" s="140"/>
      <c r="Y966" s="140"/>
      <c r="Z966" s="140"/>
    </row>
    <row r="967" spans="6:26" s="141" customFormat="1">
      <c r="F967" s="161"/>
      <c r="G967" s="161"/>
      <c r="I967" s="161"/>
      <c r="K967" s="161"/>
      <c r="Q967" s="143"/>
      <c r="R967" s="143"/>
      <c r="S967" s="143"/>
      <c r="T967" s="140"/>
      <c r="U967" s="140"/>
      <c r="V967" s="140"/>
      <c r="W967" s="140"/>
      <c r="X967" s="140"/>
      <c r="Y967" s="140"/>
      <c r="Z967" s="140"/>
    </row>
    <row r="968" spans="6:26" s="141" customFormat="1">
      <c r="F968" s="161"/>
      <c r="G968" s="161"/>
      <c r="I968" s="161"/>
      <c r="K968" s="161"/>
      <c r="Q968" s="143"/>
      <c r="R968" s="143"/>
      <c r="S968" s="143"/>
      <c r="T968" s="140"/>
      <c r="U968" s="140"/>
      <c r="V968" s="140"/>
      <c r="W968" s="140"/>
      <c r="X968" s="140"/>
      <c r="Y968" s="140"/>
      <c r="Z968" s="140"/>
    </row>
    <row r="969" spans="6:26" s="141" customFormat="1">
      <c r="F969" s="161"/>
      <c r="G969" s="161"/>
      <c r="I969" s="161"/>
      <c r="K969" s="161"/>
      <c r="Q969" s="143"/>
      <c r="R969" s="143"/>
      <c r="S969" s="143"/>
      <c r="T969" s="140"/>
      <c r="U969" s="140"/>
      <c r="V969" s="140"/>
      <c r="W969" s="140"/>
      <c r="X969" s="140"/>
      <c r="Y969" s="140"/>
      <c r="Z969" s="140"/>
    </row>
    <row r="970" spans="6:26" s="141" customFormat="1">
      <c r="F970" s="161"/>
      <c r="G970" s="161"/>
      <c r="I970" s="161"/>
      <c r="K970" s="161"/>
      <c r="Q970" s="143"/>
      <c r="R970" s="143"/>
      <c r="S970" s="143"/>
      <c r="T970" s="140"/>
      <c r="U970" s="140"/>
      <c r="V970" s="140"/>
      <c r="W970" s="140"/>
      <c r="X970" s="140"/>
      <c r="Y970" s="140"/>
      <c r="Z970" s="140"/>
    </row>
    <row r="971" spans="6:26" s="141" customFormat="1">
      <c r="F971" s="161"/>
      <c r="G971" s="161"/>
      <c r="I971" s="161"/>
      <c r="K971" s="161"/>
      <c r="Q971" s="143"/>
      <c r="R971" s="143"/>
      <c r="S971" s="143"/>
      <c r="T971" s="140"/>
      <c r="U971" s="140"/>
      <c r="V971" s="140"/>
      <c r="W971" s="140"/>
      <c r="X971" s="140"/>
      <c r="Y971" s="140"/>
      <c r="Z971" s="140"/>
    </row>
    <row r="972" spans="6:26" s="141" customFormat="1">
      <c r="F972" s="161"/>
      <c r="G972" s="161"/>
      <c r="I972" s="161"/>
      <c r="K972" s="161"/>
      <c r="Q972" s="143"/>
      <c r="R972" s="143"/>
      <c r="S972" s="143"/>
      <c r="T972" s="140"/>
      <c r="U972" s="140"/>
      <c r="V972" s="140"/>
      <c r="W972" s="140"/>
      <c r="X972" s="140"/>
      <c r="Y972" s="140"/>
      <c r="Z972" s="140"/>
    </row>
    <row r="973" spans="6:26" s="141" customFormat="1">
      <c r="F973" s="161"/>
      <c r="G973" s="161"/>
      <c r="I973" s="161"/>
      <c r="K973" s="161"/>
      <c r="Q973" s="143"/>
      <c r="R973" s="143"/>
      <c r="S973" s="143"/>
      <c r="T973" s="140"/>
      <c r="U973" s="140"/>
      <c r="V973" s="140"/>
      <c r="W973" s="140"/>
      <c r="X973" s="140"/>
      <c r="Y973" s="140"/>
      <c r="Z973" s="140"/>
    </row>
    <row r="974" spans="6:26" s="141" customFormat="1">
      <c r="F974" s="161"/>
      <c r="G974" s="161"/>
      <c r="I974" s="161"/>
      <c r="K974" s="161"/>
      <c r="Q974" s="143"/>
      <c r="R974" s="143"/>
      <c r="S974" s="143"/>
      <c r="T974" s="140"/>
      <c r="U974" s="140"/>
      <c r="V974" s="140"/>
      <c r="W974" s="140"/>
      <c r="X974" s="140"/>
      <c r="Y974" s="140"/>
      <c r="Z974" s="140"/>
    </row>
    <row r="975" spans="6:26" s="141" customFormat="1">
      <c r="F975" s="161"/>
      <c r="G975" s="161"/>
      <c r="I975" s="161"/>
      <c r="K975" s="161"/>
      <c r="Q975" s="143"/>
      <c r="R975" s="143"/>
      <c r="S975" s="143"/>
      <c r="T975" s="140"/>
      <c r="U975" s="140"/>
      <c r="V975" s="140"/>
      <c r="W975" s="140"/>
      <c r="X975" s="140"/>
      <c r="Y975" s="140"/>
      <c r="Z975" s="140"/>
    </row>
    <row r="976" spans="6:26" s="141" customFormat="1">
      <c r="F976" s="161"/>
      <c r="G976" s="161"/>
      <c r="I976" s="161"/>
      <c r="K976" s="161"/>
      <c r="Q976" s="143"/>
      <c r="R976" s="143"/>
      <c r="S976" s="143"/>
      <c r="T976" s="140"/>
      <c r="U976" s="140"/>
      <c r="V976" s="140"/>
      <c r="W976" s="140"/>
      <c r="X976" s="140"/>
      <c r="Y976" s="140"/>
      <c r="Z976" s="140"/>
    </row>
    <row r="977" spans="6:26" s="141" customFormat="1">
      <c r="F977" s="161"/>
      <c r="G977" s="161"/>
      <c r="I977" s="161"/>
      <c r="K977" s="161"/>
      <c r="Q977" s="143"/>
      <c r="R977" s="143"/>
      <c r="S977" s="143"/>
      <c r="T977" s="140"/>
      <c r="U977" s="140"/>
      <c r="V977" s="140"/>
      <c r="W977" s="140"/>
      <c r="X977" s="140"/>
      <c r="Y977" s="140"/>
      <c r="Z977" s="140"/>
    </row>
    <row r="978" spans="6:26" s="141" customFormat="1">
      <c r="F978" s="161"/>
      <c r="G978" s="161"/>
      <c r="I978" s="161"/>
      <c r="K978" s="161"/>
      <c r="Q978" s="143"/>
      <c r="R978" s="143"/>
      <c r="S978" s="143"/>
      <c r="T978" s="140"/>
      <c r="U978" s="140"/>
      <c r="V978" s="140"/>
      <c r="W978" s="140"/>
      <c r="X978" s="140"/>
      <c r="Y978" s="140"/>
      <c r="Z978" s="140"/>
    </row>
    <row r="979" spans="6:26" s="141" customFormat="1">
      <c r="F979" s="161"/>
      <c r="G979" s="161"/>
      <c r="I979" s="161"/>
      <c r="K979" s="161"/>
      <c r="Q979" s="143"/>
      <c r="R979" s="143"/>
      <c r="S979" s="143"/>
      <c r="T979" s="140"/>
      <c r="U979" s="140"/>
      <c r="V979" s="140"/>
      <c r="W979" s="140"/>
      <c r="X979" s="140"/>
      <c r="Y979" s="140"/>
      <c r="Z979" s="140"/>
    </row>
    <row r="980" spans="6:26" s="141" customFormat="1">
      <c r="F980" s="161"/>
      <c r="G980" s="161"/>
      <c r="I980" s="161"/>
      <c r="K980" s="161"/>
      <c r="Q980" s="143"/>
      <c r="R980" s="143"/>
      <c r="S980" s="143"/>
      <c r="T980" s="140"/>
      <c r="U980" s="140"/>
      <c r="V980" s="140"/>
      <c r="W980" s="140"/>
      <c r="X980" s="140"/>
      <c r="Y980" s="140"/>
      <c r="Z980" s="140"/>
    </row>
    <row r="981" spans="6:26" s="141" customFormat="1">
      <c r="F981" s="161"/>
      <c r="G981" s="161"/>
      <c r="I981" s="161"/>
      <c r="K981" s="161"/>
      <c r="Q981" s="143"/>
      <c r="R981" s="143"/>
      <c r="S981" s="143"/>
      <c r="T981" s="140"/>
      <c r="U981" s="140"/>
      <c r="V981" s="140"/>
      <c r="W981" s="140"/>
      <c r="X981" s="140"/>
      <c r="Y981" s="140"/>
      <c r="Z981" s="140"/>
    </row>
    <row r="982" spans="6:26" s="141" customFormat="1">
      <c r="F982" s="161"/>
      <c r="G982" s="161"/>
      <c r="I982" s="161"/>
      <c r="K982" s="161"/>
      <c r="Q982" s="143"/>
      <c r="R982" s="143"/>
      <c r="S982" s="143"/>
      <c r="T982" s="140"/>
      <c r="U982" s="140"/>
      <c r="V982" s="140"/>
      <c r="W982" s="140"/>
      <c r="X982" s="140"/>
      <c r="Y982" s="140"/>
      <c r="Z982" s="140"/>
    </row>
    <row r="983" spans="6:26" s="141" customFormat="1">
      <c r="F983" s="161"/>
      <c r="G983" s="161"/>
      <c r="I983" s="161"/>
      <c r="K983" s="161"/>
      <c r="Q983" s="143"/>
      <c r="R983" s="143"/>
      <c r="S983" s="143"/>
      <c r="T983" s="140"/>
      <c r="U983" s="140"/>
      <c r="V983" s="140"/>
      <c r="W983" s="140"/>
      <c r="X983" s="140"/>
      <c r="Y983" s="140"/>
      <c r="Z983" s="140"/>
    </row>
    <row r="984" spans="6:26" s="141" customFormat="1">
      <c r="F984" s="161"/>
      <c r="G984" s="161"/>
      <c r="I984" s="161"/>
      <c r="K984" s="161"/>
      <c r="Q984" s="143"/>
      <c r="R984" s="143"/>
      <c r="S984" s="143"/>
      <c r="T984" s="140"/>
      <c r="U984" s="140"/>
      <c r="V984" s="140"/>
      <c r="W984" s="140"/>
      <c r="X984" s="140"/>
      <c r="Y984" s="140"/>
      <c r="Z984" s="140"/>
    </row>
    <row r="985" spans="6:26" s="141" customFormat="1">
      <c r="F985" s="161"/>
      <c r="G985" s="161"/>
      <c r="I985" s="161"/>
      <c r="K985" s="161"/>
      <c r="Q985" s="143"/>
      <c r="R985" s="143"/>
      <c r="S985" s="143"/>
      <c r="T985" s="140"/>
      <c r="U985" s="140"/>
      <c r="V985" s="140"/>
      <c r="W985" s="140"/>
      <c r="X985" s="140"/>
      <c r="Y985" s="140"/>
      <c r="Z985" s="140"/>
    </row>
    <row r="986" spans="6:26" s="141" customFormat="1">
      <c r="F986" s="161"/>
      <c r="G986" s="161"/>
      <c r="I986" s="161"/>
      <c r="K986" s="161"/>
      <c r="Q986" s="143"/>
      <c r="R986" s="143"/>
      <c r="S986" s="143"/>
      <c r="T986" s="140"/>
      <c r="U986" s="140"/>
      <c r="V986" s="140"/>
      <c r="W986" s="140"/>
      <c r="X986" s="140"/>
      <c r="Y986" s="140"/>
      <c r="Z986" s="140"/>
    </row>
    <row r="987" spans="6:26" s="141" customFormat="1">
      <c r="F987" s="161"/>
      <c r="G987" s="161"/>
      <c r="I987" s="161"/>
      <c r="K987" s="161"/>
      <c r="Q987" s="143"/>
      <c r="R987" s="143"/>
      <c r="S987" s="143"/>
      <c r="T987" s="140"/>
      <c r="U987" s="140"/>
      <c r="V987" s="140"/>
      <c r="W987" s="140"/>
      <c r="X987" s="140"/>
      <c r="Y987" s="140"/>
      <c r="Z987" s="140"/>
    </row>
    <row r="988" spans="6:26" s="141" customFormat="1">
      <c r="F988" s="161"/>
      <c r="G988" s="161"/>
      <c r="I988" s="161"/>
      <c r="K988" s="161"/>
      <c r="Q988" s="143"/>
      <c r="R988" s="143"/>
      <c r="S988" s="143"/>
      <c r="T988" s="140"/>
      <c r="U988" s="140"/>
      <c r="V988" s="140"/>
      <c r="W988" s="140"/>
      <c r="X988" s="140"/>
      <c r="Y988" s="140"/>
      <c r="Z988" s="140"/>
    </row>
    <row r="989" spans="6:26" s="141" customFormat="1">
      <c r="F989" s="161"/>
      <c r="G989" s="161"/>
      <c r="I989" s="161"/>
      <c r="K989" s="161"/>
      <c r="Q989" s="143"/>
      <c r="R989" s="143"/>
      <c r="S989" s="143"/>
      <c r="T989" s="140"/>
      <c r="U989" s="140"/>
      <c r="V989" s="140"/>
      <c r="W989" s="140"/>
      <c r="X989" s="140"/>
      <c r="Y989" s="140"/>
      <c r="Z989" s="140"/>
    </row>
    <row r="990" spans="6:26" s="141" customFormat="1">
      <c r="F990" s="161"/>
      <c r="G990" s="161"/>
      <c r="I990" s="161"/>
      <c r="K990" s="161"/>
      <c r="Q990" s="143"/>
      <c r="R990" s="143"/>
      <c r="S990" s="143"/>
      <c r="T990" s="140"/>
      <c r="U990" s="140"/>
      <c r="V990" s="140"/>
      <c r="W990" s="140"/>
      <c r="X990" s="140"/>
      <c r="Y990" s="140"/>
      <c r="Z990" s="140"/>
    </row>
    <row r="991" spans="6:26" s="141" customFormat="1">
      <c r="F991" s="161"/>
      <c r="G991" s="161"/>
      <c r="I991" s="161"/>
      <c r="K991" s="161"/>
      <c r="Q991" s="143"/>
      <c r="R991" s="143"/>
      <c r="S991" s="143"/>
      <c r="T991" s="140"/>
      <c r="U991" s="140"/>
      <c r="V991" s="140"/>
      <c r="W991" s="140"/>
      <c r="X991" s="140"/>
      <c r="Y991" s="140"/>
      <c r="Z991" s="140"/>
    </row>
    <row r="992" spans="6:26" s="141" customFormat="1">
      <c r="F992" s="161"/>
      <c r="G992" s="161"/>
      <c r="I992" s="161"/>
      <c r="K992" s="161"/>
      <c r="Q992" s="143"/>
      <c r="R992" s="143"/>
      <c r="S992" s="143"/>
      <c r="T992" s="140"/>
      <c r="U992" s="140"/>
      <c r="V992" s="140"/>
      <c r="W992" s="140"/>
      <c r="X992" s="140"/>
      <c r="Y992" s="140"/>
      <c r="Z992" s="140"/>
    </row>
    <row r="993" spans="6:26" s="141" customFormat="1">
      <c r="F993" s="161"/>
      <c r="G993" s="161"/>
      <c r="I993" s="161"/>
      <c r="K993" s="161"/>
      <c r="Q993" s="143"/>
      <c r="R993" s="143"/>
      <c r="S993" s="143"/>
      <c r="T993" s="140"/>
      <c r="U993" s="140"/>
      <c r="V993" s="140"/>
      <c r="W993" s="140"/>
      <c r="X993" s="140"/>
      <c r="Y993" s="140"/>
      <c r="Z993" s="140"/>
    </row>
    <row r="994" spans="6:26" s="141" customFormat="1">
      <c r="F994" s="161"/>
      <c r="G994" s="161"/>
      <c r="I994" s="161"/>
      <c r="K994" s="161"/>
      <c r="Q994" s="143"/>
      <c r="R994" s="143"/>
      <c r="S994" s="143"/>
      <c r="T994" s="140"/>
      <c r="U994" s="140"/>
      <c r="V994" s="140"/>
      <c r="W994" s="140"/>
      <c r="X994" s="140"/>
      <c r="Y994" s="140"/>
      <c r="Z994" s="140"/>
    </row>
    <row r="995" spans="6:26" s="141" customFormat="1">
      <c r="F995" s="161"/>
      <c r="G995" s="161"/>
      <c r="I995" s="161"/>
      <c r="K995" s="161"/>
      <c r="Q995" s="143"/>
      <c r="R995" s="143"/>
      <c r="S995" s="143"/>
      <c r="T995" s="140"/>
      <c r="U995" s="140"/>
      <c r="V995" s="140"/>
      <c r="W995" s="140"/>
      <c r="X995" s="140"/>
      <c r="Y995" s="140"/>
      <c r="Z995" s="140"/>
    </row>
    <row r="996" spans="6:26" s="141" customFormat="1">
      <c r="F996" s="161"/>
      <c r="G996" s="161"/>
      <c r="I996" s="161"/>
      <c r="K996" s="161"/>
      <c r="Q996" s="143"/>
      <c r="R996" s="143"/>
      <c r="S996" s="143"/>
      <c r="T996" s="140"/>
      <c r="U996" s="140"/>
      <c r="V996" s="140"/>
      <c r="W996" s="140"/>
      <c r="X996" s="140"/>
      <c r="Y996" s="140"/>
      <c r="Z996" s="140"/>
    </row>
    <row r="997" spans="6:26" s="141" customFormat="1">
      <c r="F997" s="161"/>
      <c r="G997" s="161"/>
      <c r="I997" s="161"/>
      <c r="K997" s="161"/>
      <c r="Q997" s="143"/>
      <c r="R997" s="143"/>
      <c r="S997" s="143"/>
      <c r="T997" s="140"/>
      <c r="U997" s="140"/>
      <c r="V997" s="140"/>
      <c r="W997" s="140"/>
      <c r="X997" s="140"/>
      <c r="Y997" s="140"/>
      <c r="Z997" s="140"/>
    </row>
    <row r="998" spans="6:26" s="141" customFormat="1">
      <c r="F998" s="161"/>
      <c r="G998" s="161"/>
      <c r="I998" s="161"/>
      <c r="K998" s="161"/>
      <c r="Q998" s="143"/>
      <c r="R998" s="143"/>
      <c r="S998" s="143"/>
      <c r="T998" s="140"/>
      <c r="U998" s="140"/>
      <c r="V998" s="140"/>
      <c r="W998" s="140"/>
      <c r="X998" s="140"/>
      <c r="Y998" s="140"/>
      <c r="Z998" s="140"/>
    </row>
    <row r="999" spans="6:26" s="141" customFormat="1">
      <c r="F999" s="161"/>
      <c r="G999" s="161"/>
      <c r="I999" s="161"/>
      <c r="K999" s="161"/>
      <c r="Q999" s="143"/>
      <c r="R999" s="143"/>
      <c r="S999" s="143"/>
      <c r="T999" s="140"/>
      <c r="U999" s="140"/>
      <c r="V999" s="140"/>
      <c r="W999" s="140"/>
      <c r="X999" s="140"/>
      <c r="Y999" s="140"/>
      <c r="Z999" s="140"/>
    </row>
    <row r="1000" spans="6:26" s="141" customFormat="1">
      <c r="F1000" s="161"/>
      <c r="G1000" s="161"/>
      <c r="I1000" s="161"/>
      <c r="K1000" s="161"/>
      <c r="Q1000" s="143"/>
      <c r="R1000" s="143"/>
      <c r="S1000" s="143"/>
      <c r="T1000" s="140"/>
      <c r="U1000" s="140"/>
      <c r="V1000" s="140"/>
      <c r="W1000" s="140"/>
      <c r="X1000" s="140"/>
      <c r="Y1000" s="140"/>
      <c r="Z1000" s="140"/>
    </row>
    <row r="1001" spans="6:26" s="141" customFormat="1">
      <c r="F1001" s="161"/>
      <c r="G1001" s="161"/>
      <c r="I1001" s="161"/>
      <c r="K1001" s="161"/>
      <c r="Q1001" s="143"/>
      <c r="R1001" s="143"/>
      <c r="S1001" s="143"/>
      <c r="T1001" s="140"/>
      <c r="U1001" s="140"/>
      <c r="V1001" s="140"/>
      <c r="W1001" s="140"/>
      <c r="X1001" s="140"/>
      <c r="Y1001" s="140"/>
      <c r="Z1001" s="140"/>
    </row>
    <row r="1002" spans="6:26" s="141" customFormat="1">
      <c r="F1002" s="161"/>
      <c r="G1002" s="161"/>
      <c r="I1002" s="161"/>
      <c r="K1002" s="161"/>
      <c r="Q1002" s="143"/>
      <c r="R1002" s="143"/>
      <c r="S1002" s="143"/>
      <c r="T1002" s="140"/>
      <c r="U1002" s="140"/>
      <c r="V1002" s="140"/>
      <c r="W1002" s="140"/>
      <c r="X1002" s="140"/>
      <c r="Y1002" s="140"/>
      <c r="Z1002" s="140"/>
    </row>
    <row r="1003" spans="6:26" s="141" customFormat="1">
      <c r="F1003" s="161"/>
      <c r="G1003" s="161"/>
      <c r="I1003" s="161"/>
      <c r="K1003" s="161"/>
      <c r="Q1003" s="143"/>
      <c r="R1003" s="143"/>
      <c r="S1003" s="143"/>
      <c r="T1003" s="140"/>
      <c r="U1003" s="140"/>
      <c r="V1003" s="140"/>
      <c r="W1003" s="140"/>
      <c r="X1003" s="140"/>
      <c r="Y1003" s="140"/>
      <c r="Z1003" s="140"/>
    </row>
    <row r="1004" spans="6:26" s="141" customFormat="1">
      <c r="F1004" s="161"/>
      <c r="G1004" s="161"/>
      <c r="I1004" s="161"/>
      <c r="K1004" s="161"/>
      <c r="Q1004" s="143"/>
      <c r="R1004" s="143"/>
      <c r="S1004" s="143"/>
      <c r="T1004" s="140"/>
      <c r="U1004" s="140"/>
      <c r="V1004" s="140"/>
      <c r="W1004" s="140"/>
      <c r="X1004" s="140"/>
      <c r="Y1004" s="140"/>
      <c r="Z1004" s="140"/>
    </row>
    <row r="1005" spans="6:26" s="141" customFormat="1">
      <c r="F1005" s="161"/>
      <c r="G1005" s="161"/>
      <c r="I1005" s="161"/>
      <c r="K1005" s="161"/>
      <c r="Q1005" s="143"/>
      <c r="R1005" s="143"/>
      <c r="S1005" s="143"/>
      <c r="T1005" s="140"/>
      <c r="U1005" s="140"/>
      <c r="V1005" s="140"/>
      <c r="W1005" s="140"/>
      <c r="X1005" s="140"/>
      <c r="Y1005" s="140"/>
      <c r="Z1005" s="140"/>
    </row>
    <row r="1006" spans="6:26" s="141" customFormat="1">
      <c r="F1006" s="161"/>
      <c r="G1006" s="161"/>
      <c r="I1006" s="161"/>
      <c r="K1006" s="161"/>
      <c r="Q1006" s="143"/>
      <c r="R1006" s="143"/>
      <c r="S1006" s="143"/>
      <c r="T1006" s="140"/>
      <c r="U1006" s="140"/>
      <c r="V1006" s="140"/>
      <c r="W1006" s="140"/>
      <c r="X1006" s="140"/>
      <c r="Y1006" s="140"/>
      <c r="Z1006" s="140"/>
    </row>
    <row r="1007" spans="6:26" s="141" customFormat="1">
      <c r="F1007" s="161"/>
      <c r="G1007" s="161"/>
      <c r="I1007" s="161"/>
      <c r="K1007" s="161"/>
      <c r="Q1007" s="143"/>
      <c r="R1007" s="143"/>
      <c r="S1007" s="143"/>
      <c r="T1007" s="140"/>
      <c r="U1007" s="140"/>
      <c r="V1007" s="140"/>
      <c r="W1007" s="140"/>
      <c r="X1007" s="140"/>
      <c r="Y1007" s="140"/>
      <c r="Z1007" s="140"/>
    </row>
    <row r="1008" spans="6:26" s="141" customFormat="1">
      <c r="F1008" s="161"/>
      <c r="G1008" s="161"/>
      <c r="I1008" s="161"/>
      <c r="K1008" s="161"/>
      <c r="Q1008" s="143"/>
      <c r="R1008" s="143"/>
      <c r="S1008" s="143"/>
      <c r="T1008" s="140"/>
      <c r="U1008" s="140"/>
      <c r="V1008" s="140"/>
      <c r="W1008" s="140"/>
      <c r="X1008" s="140"/>
      <c r="Y1008" s="140"/>
      <c r="Z1008" s="140"/>
    </row>
    <row r="1009" spans="6:26" s="141" customFormat="1">
      <c r="F1009" s="161"/>
      <c r="G1009" s="161"/>
      <c r="I1009" s="161"/>
      <c r="K1009" s="161"/>
      <c r="Q1009" s="143"/>
      <c r="R1009" s="143"/>
      <c r="S1009" s="143"/>
      <c r="T1009" s="140"/>
      <c r="U1009" s="140"/>
      <c r="V1009" s="140"/>
      <c r="W1009" s="140"/>
      <c r="X1009" s="140"/>
      <c r="Y1009" s="140"/>
      <c r="Z1009" s="140"/>
    </row>
    <row r="1010" spans="6:26" s="141" customFormat="1">
      <c r="F1010" s="161"/>
      <c r="G1010" s="161"/>
      <c r="I1010" s="161"/>
      <c r="K1010" s="161"/>
      <c r="Q1010" s="143"/>
      <c r="R1010" s="143"/>
      <c r="S1010" s="143"/>
      <c r="T1010" s="140"/>
      <c r="U1010" s="140"/>
      <c r="V1010" s="140"/>
      <c r="W1010" s="140"/>
      <c r="X1010" s="140"/>
      <c r="Y1010" s="140"/>
      <c r="Z1010" s="140"/>
    </row>
    <row r="1011" spans="6:26" s="141" customFormat="1">
      <c r="F1011" s="161"/>
      <c r="G1011" s="161"/>
      <c r="I1011" s="161"/>
      <c r="K1011" s="161"/>
      <c r="Q1011" s="143"/>
      <c r="R1011" s="143"/>
      <c r="S1011" s="143"/>
      <c r="T1011" s="140"/>
      <c r="U1011" s="140"/>
      <c r="V1011" s="140"/>
      <c r="W1011" s="140"/>
      <c r="X1011" s="140"/>
      <c r="Y1011" s="140"/>
      <c r="Z1011" s="140"/>
    </row>
    <row r="1012" spans="6:26" s="141" customFormat="1">
      <c r="F1012" s="161"/>
      <c r="G1012" s="161"/>
      <c r="I1012" s="161"/>
      <c r="K1012" s="161"/>
      <c r="Q1012" s="143"/>
      <c r="R1012" s="143"/>
      <c r="S1012" s="143"/>
      <c r="T1012" s="140"/>
      <c r="U1012" s="140"/>
      <c r="V1012" s="140"/>
      <c r="W1012" s="140"/>
      <c r="X1012" s="140"/>
      <c r="Y1012" s="140"/>
      <c r="Z1012" s="140"/>
    </row>
    <row r="1013" spans="6:26" s="141" customFormat="1">
      <c r="F1013" s="161"/>
      <c r="G1013" s="161"/>
      <c r="I1013" s="161"/>
      <c r="K1013" s="161"/>
      <c r="Q1013" s="143"/>
      <c r="R1013" s="143"/>
      <c r="S1013" s="143"/>
      <c r="T1013" s="140"/>
      <c r="U1013" s="140"/>
      <c r="V1013" s="140"/>
      <c r="W1013" s="140"/>
      <c r="X1013" s="140"/>
      <c r="Y1013" s="140"/>
      <c r="Z1013" s="140"/>
    </row>
    <row r="1014" spans="6:26" s="141" customFormat="1">
      <c r="F1014" s="161"/>
      <c r="G1014" s="161"/>
      <c r="I1014" s="161"/>
      <c r="K1014" s="161"/>
      <c r="Q1014" s="143"/>
      <c r="R1014" s="143"/>
      <c r="S1014" s="143"/>
      <c r="T1014" s="140"/>
      <c r="U1014" s="140"/>
      <c r="V1014" s="140"/>
      <c r="W1014" s="140"/>
      <c r="X1014" s="140"/>
      <c r="Y1014" s="140"/>
      <c r="Z1014" s="140"/>
    </row>
    <row r="1015" spans="6:26" s="141" customFormat="1">
      <c r="F1015" s="161"/>
      <c r="G1015" s="161"/>
      <c r="I1015" s="161"/>
      <c r="K1015" s="161"/>
      <c r="Q1015" s="143"/>
      <c r="R1015" s="143"/>
      <c r="S1015" s="143"/>
      <c r="T1015" s="140"/>
      <c r="U1015" s="140"/>
      <c r="V1015" s="140"/>
      <c r="W1015" s="140"/>
      <c r="X1015" s="140"/>
      <c r="Y1015" s="140"/>
      <c r="Z1015" s="140"/>
    </row>
    <row r="1016" spans="6:26" s="141" customFormat="1">
      <c r="F1016" s="161"/>
      <c r="G1016" s="161"/>
      <c r="I1016" s="161"/>
      <c r="K1016" s="161"/>
      <c r="Q1016" s="143"/>
      <c r="R1016" s="143"/>
      <c r="S1016" s="143"/>
      <c r="T1016" s="140"/>
      <c r="U1016" s="140"/>
      <c r="V1016" s="140"/>
      <c r="W1016" s="140"/>
      <c r="X1016" s="140"/>
      <c r="Y1016" s="140"/>
      <c r="Z1016" s="140"/>
    </row>
    <row r="1017" spans="6:26" s="141" customFormat="1">
      <c r="F1017" s="161"/>
      <c r="G1017" s="161"/>
      <c r="I1017" s="161"/>
      <c r="K1017" s="161"/>
      <c r="Q1017" s="143"/>
      <c r="R1017" s="143"/>
      <c r="S1017" s="143"/>
      <c r="T1017" s="140"/>
      <c r="U1017" s="140"/>
      <c r="V1017" s="140"/>
      <c r="W1017" s="140"/>
      <c r="X1017" s="140"/>
      <c r="Y1017" s="140"/>
      <c r="Z1017" s="140"/>
    </row>
    <row r="1018" spans="6:26" s="141" customFormat="1">
      <c r="F1018" s="161"/>
      <c r="G1018" s="161"/>
      <c r="I1018" s="161"/>
      <c r="K1018" s="161"/>
      <c r="Q1018" s="143"/>
      <c r="R1018" s="143"/>
      <c r="S1018" s="143"/>
      <c r="T1018" s="140"/>
      <c r="U1018" s="140"/>
      <c r="V1018" s="140"/>
      <c r="W1018" s="140"/>
      <c r="X1018" s="140"/>
      <c r="Y1018" s="140"/>
      <c r="Z1018" s="140"/>
    </row>
    <row r="1019" spans="6:26" s="141" customFormat="1">
      <c r="F1019" s="161"/>
      <c r="G1019" s="161"/>
      <c r="I1019" s="161"/>
      <c r="K1019" s="161"/>
      <c r="Q1019" s="143"/>
      <c r="R1019" s="143"/>
      <c r="S1019" s="143"/>
      <c r="T1019" s="140"/>
      <c r="U1019" s="140"/>
      <c r="V1019" s="140"/>
      <c r="W1019" s="140"/>
      <c r="X1019" s="140"/>
      <c r="Y1019" s="140"/>
      <c r="Z1019" s="140"/>
    </row>
    <row r="1020" spans="6:26" s="141" customFormat="1">
      <c r="F1020" s="161"/>
      <c r="G1020" s="161"/>
      <c r="I1020" s="161"/>
      <c r="K1020" s="161"/>
      <c r="Q1020" s="143"/>
      <c r="R1020" s="143"/>
      <c r="S1020" s="143"/>
      <c r="T1020" s="140"/>
      <c r="U1020" s="140"/>
      <c r="V1020" s="140"/>
      <c r="W1020" s="140"/>
      <c r="X1020" s="140"/>
      <c r="Y1020" s="140"/>
      <c r="Z1020" s="140"/>
    </row>
    <row r="1021" spans="6:26" s="141" customFormat="1">
      <c r="F1021" s="161"/>
      <c r="G1021" s="161"/>
      <c r="I1021" s="161"/>
      <c r="K1021" s="161"/>
      <c r="Q1021" s="143"/>
      <c r="R1021" s="143"/>
      <c r="S1021" s="143"/>
      <c r="T1021" s="140"/>
      <c r="U1021" s="140"/>
      <c r="V1021" s="140"/>
      <c r="W1021" s="140"/>
      <c r="X1021" s="140"/>
      <c r="Y1021" s="140"/>
      <c r="Z1021" s="140"/>
    </row>
    <row r="1022" spans="6:26" s="141" customFormat="1">
      <c r="F1022" s="161"/>
      <c r="G1022" s="161"/>
      <c r="I1022" s="161"/>
      <c r="K1022" s="161"/>
      <c r="Q1022" s="143"/>
      <c r="R1022" s="143"/>
      <c r="S1022" s="143"/>
      <c r="T1022" s="140"/>
      <c r="U1022" s="140"/>
      <c r="V1022" s="140"/>
      <c r="W1022" s="140"/>
      <c r="X1022" s="140"/>
      <c r="Y1022" s="140"/>
      <c r="Z1022" s="140"/>
    </row>
    <row r="1023" spans="6:26" s="141" customFormat="1">
      <c r="F1023" s="161"/>
      <c r="G1023" s="161"/>
      <c r="I1023" s="161"/>
      <c r="K1023" s="161"/>
      <c r="Q1023" s="143"/>
      <c r="R1023" s="143"/>
      <c r="S1023" s="143"/>
      <c r="T1023" s="140"/>
      <c r="U1023" s="140"/>
      <c r="V1023" s="140"/>
      <c r="W1023" s="140"/>
      <c r="X1023" s="140"/>
      <c r="Y1023" s="140"/>
      <c r="Z1023" s="140"/>
    </row>
    <row r="1024" spans="6:26" s="141" customFormat="1">
      <c r="F1024" s="161"/>
      <c r="G1024" s="161"/>
      <c r="I1024" s="161"/>
      <c r="K1024" s="161"/>
      <c r="Q1024" s="143"/>
      <c r="R1024" s="143"/>
      <c r="S1024" s="143"/>
      <c r="T1024" s="140"/>
      <c r="U1024" s="140"/>
      <c r="V1024" s="140"/>
      <c r="W1024" s="140"/>
      <c r="X1024" s="140"/>
      <c r="Y1024" s="140"/>
      <c r="Z1024" s="140"/>
    </row>
    <row r="1025" spans="6:26" s="141" customFormat="1">
      <c r="F1025" s="161"/>
      <c r="G1025" s="161"/>
      <c r="I1025" s="161"/>
      <c r="K1025" s="161"/>
      <c r="Q1025" s="143"/>
      <c r="R1025" s="143"/>
      <c r="S1025" s="143"/>
      <c r="T1025" s="140"/>
      <c r="U1025" s="140"/>
      <c r="V1025" s="140"/>
      <c r="W1025" s="140"/>
      <c r="X1025" s="140"/>
      <c r="Y1025" s="140"/>
      <c r="Z1025" s="140"/>
    </row>
    <row r="1026" spans="6:26" s="141" customFormat="1">
      <c r="F1026" s="161"/>
      <c r="G1026" s="161"/>
      <c r="I1026" s="161"/>
      <c r="K1026" s="161"/>
      <c r="Q1026" s="143"/>
      <c r="R1026" s="143"/>
      <c r="S1026" s="143"/>
      <c r="T1026" s="140"/>
      <c r="U1026" s="140"/>
      <c r="V1026" s="140"/>
      <c r="W1026" s="140"/>
      <c r="X1026" s="140"/>
      <c r="Y1026" s="140"/>
      <c r="Z1026" s="140"/>
    </row>
    <row r="1027" spans="6:26" s="141" customFormat="1">
      <c r="F1027" s="161"/>
      <c r="G1027" s="161"/>
      <c r="I1027" s="161"/>
      <c r="K1027" s="161"/>
      <c r="Q1027" s="143"/>
      <c r="R1027" s="143"/>
      <c r="S1027" s="143"/>
      <c r="T1027" s="140"/>
      <c r="U1027" s="140"/>
      <c r="V1027" s="140"/>
      <c r="W1027" s="140"/>
      <c r="X1027" s="140"/>
      <c r="Y1027" s="140"/>
      <c r="Z1027" s="140"/>
    </row>
    <row r="1028" spans="6:26" s="141" customFormat="1">
      <c r="F1028" s="161"/>
      <c r="G1028" s="161"/>
      <c r="I1028" s="161"/>
      <c r="K1028" s="161"/>
      <c r="Q1028" s="143"/>
      <c r="R1028" s="143"/>
      <c r="S1028" s="143"/>
      <c r="T1028" s="140"/>
      <c r="U1028" s="140"/>
      <c r="V1028" s="140"/>
      <c r="W1028" s="140"/>
      <c r="X1028" s="140"/>
      <c r="Y1028" s="140"/>
      <c r="Z1028" s="140"/>
    </row>
    <row r="1029" spans="6:26" s="141" customFormat="1">
      <c r="F1029" s="161"/>
      <c r="G1029" s="161"/>
      <c r="I1029" s="161"/>
      <c r="K1029" s="161"/>
      <c r="Q1029" s="143"/>
      <c r="R1029" s="143"/>
      <c r="S1029" s="143"/>
      <c r="T1029" s="140"/>
      <c r="U1029" s="140"/>
      <c r="V1029" s="140"/>
      <c r="W1029" s="140"/>
      <c r="X1029" s="140"/>
      <c r="Y1029" s="140"/>
      <c r="Z1029" s="140"/>
    </row>
    <row r="1030" spans="6:26" s="141" customFormat="1">
      <c r="F1030" s="161"/>
      <c r="G1030" s="161"/>
      <c r="I1030" s="161"/>
      <c r="K1030" s="161"/>
      <c r="Q1030" s="143"/>
      <c r="R1030" s="143"/>
      <c r="S1030" s="143"/>
      <c r="T1030" s="140"/>
      <c r="U1030" s="140"/>
      <c r="V1030" s="140"/>
      <c r="W1030" s="140"/>
      <c r="X1030" s="140"/>
      <c r="Y1030" s="140"/>
      <c r="Z1030" s="140"/>
    </row>
    <row r="1031" spans="6:26" s="141" customFormat="1">
      <c r="F1031" s="161"/>
      <c r="G1031" s="161"/>
      <c r="I1031" s="161"/>
      <c r="K1031" s="161"/>
      <c r="Q1031" s="143"/>
      <c r="R1031" s="143"/>
      <c r="S1031" s="143"/>
      <c r="T1031" s="140"/>
      <c r="U1031" s="140"/>
      <c r="V1031" s="140"/>
      <c r="W1031" s="140"/>
      <c r="X1031" s="140"/>
      <c r="Y1031" s="140"/>
      <c r="Z1031" s="140"/>
    </row>
    <row r="1032" spans="6:26" s="141" customFormat="1">
      <c r="F1032" s="161"/>
      <c r="G1032" s="161"/>
      <c r="I1032" s="161"/>
      <c r="K1032" s="161"/>
      <c r="Q1032" s="143"/>
      <c r="R1032" s="143"/>
      <c r="S1032" s="143"/>
      <c r="T1032" s="140"/>
      <c r="U1032" s="140"/>
      <c r="V1032" s="140"/>
      <c r="W1032" s="140"/>
      <c r="X1032" s="140"/>
      <c r="Y1032" s="140"/>
      <c r="Z1032" s="140"/>
    </row>
    <row r="1033" spans="6:26" s="141" customFormat="1">
      <c r="F1033" s="161"/>
      <c r="G1033" s="161"/>
      <c r="I1033" s="161"/>
      <c r="K1033" s="161"/>
      <c r="Q1033" s="143"/>
      <c r="R1033" s="143"/>
      <c r="S1033" s="143"/>
      <c r="T1033" s="140"/>
      <c r="U1033" s="140"/>
      <c r="V1033" s="140"/>
      <c r="W1033" s="140"/>
      <c r="X1033" s="140"/>
      <c r="Y1033" s="140"/>
      <c r="Z1033" s="140"/>
    </row>
    <row r="1034" spans="6:26" s="141" customFormat="1">
      <c r="F1034" s="161"/>
      <c r="G1034" s="161"/>
      <c r="I1034" s="161"/>
      <c r="K1034" s="161"/>
      <c r="Q1034" s="143"/>
      <c r="R1034" s="143"/>
      <c r="S1034" s="143"/>
      <c r="T1034" s="140"/>
      <c r="U1034" s="140"/>
      <c r="V1034" s="140"/>
      <c r="W1034" s="140"/>
      <c r="X1034" s="140"/>
      <c r="Y1034" s="140"/>
      <c r="Z1034" s="140"/>
    </row>
    <row r="1035" spans="6:26" s="141" customFormat="1">
      <c r="F1035" s="161"/>
      <c r="G1035" s="161"/>
      <c r="I1035" s="161"/>
      <c r="K1035" s="161"/>
      <c r="Q1035" s="143"/>
      <c r="R1035" s="143"/>
      <c r="S1035" s="143"/>
      <c r="T1035" s="140"/>
      <c r="U1035" s="140"/>
      <c r="V1035" s="140"/>
      <c r="W1035" s="140"/>
      <c r="X1035" s="140"/>
      <c r="Y1035" s="140"/>
      <c r="Z1035" s="140"/>
    </row>
    <row r="1036" spans="6:26" s="141" customFormat="1">
      <c r="F1036" s="161"/>
      <c r="G1036" s="161"/>
      <c r="I1036" s="161"/>
      <c r="K1036" s="161"/>
      <c r="Q1036" s="143"/>
      <c r="R1036" s="143"/>
      <c r="S1036" s="143"/>
      <c r="T1036" s="140"/>
      <c r="U1036" s="140"/>
      <c r="V1036" s="140"/>
      <c r="W1036" s="140"/>
      <c r="X1036" s="140"/>
      <c r="Y1036" s="140"/>
      <c r="Z1036" s="140"/>
    </row>
    <row r="1037" spans="6:26" s="141" customFormat="1">
      <c r="F1037" s="161"/>
      <c r="G1037" s="161"/>
      <c r="I1037" s="161"/>
      <c r="K1037" s="161"/>
      <c r="Q1037" s="143"/>
      <c r="R1037" s="143"/>
      <c r="S1037" s="143"/>
      <c r="T1037" s="140"/>
      <c r="U1037" s="140"/>
      <c r="V1037" s="140"/>
      <c r="W1037" s="140"/>
      <c r="X1037" s="140"/>
      <c r="Y1037" s="140"/>
      <c r="Z1037" s="140"/>
    </row>
    <row r="1038" spans="6:26" s="141" customFormat="1">
      <c r="F1038" s="161"/>
      <c r="G1038" s="161"/>
      <c r="I1038" s="161"/>
      <c r="K1038" s="161"/>
      <c r="Q1038" s="143"/>
      <c r="R1038" s="143"/>
      <c r="S1038" s="143"/>
      <c r="T1038" s="140"/>
      <c r="U1038" s="140"/>
      <c r="V1038" s="140"/>
      <c r="W1038" s="140"/>
      <c r="X1038" s="140"/>
      <c r="Y1038" s="140"/>
      <c r="Z1038" s="140"/>
    </row>
    <row r="1039" spans="6:26" s="141" customFormat="1">
      <c r="F1039" s="161"/>
      <c r="G1039" s="161"/>
      <c r="I1039" s="161"/>
      <c r="K1039" s="161"/>
      <c r="Q1039" s="143"/>
      <c r="R1039" s="143"/>
      <c r="S1039" s="143"/>
      <c r="T1039" s="140"/>
      <c r="U1039" s="140"/>
      <c r="V1039" s="140"/>
      <c r="W1039" s="140"/>
      <c r="X1039" s="140"/>
      <c r="Y1039" s="140"/>
      <c r="Z1039" s="140"/>
    </row>
    <row r="1040" spans="6:26" s="141" customFormat="1">
      <c r="F1040" s="161"/>
      <c r="G1040" s="161"/>
      <c r="I1040" s="161"/>
      <c r="K1040" s="161"/>
      <c r="Q1040" s="143"/>
      <c r="R1040" s="143"/>
      <c r="S1040" s="143"/>
      <c r="T1040" s="140"/>
      <c r="U1040" s="140"/>
      <c r="V1040" s="140"/>
      <c r="W1040" s="140"/>
      <c r="X1040" s="140"/>
      <c r="Y1040" s="140"/>
      <c r="Z1040" s="140"/>
    </row>
    <row r="1041" spans="6:26" s="141" customFormat="1">
      <c r="F1041" s="161"/>
      <c r="G1041" s="161"/>
      <c r="I1041" s="161"/>
      <c r="K1041" s="161"/>
      <c r="Q1041" s="143"/>
      <c r="R1041" s="143"/>
      <c r="S1041" s="143"/>
      <c r="T1041" s="140"/>
      <c r="U1041" s="140"/>
      <c r="V1041" s="140"/>
      <c r="W1041" s="140"/>
      <c r="X1041" s="140"/>
      <c r="Y1041" s="140"/>
      <c r="Z1041" s="140"/>
    </row>
    <row r="1042" spans="6:26" s="141" customFormat="1">
      <c r="F1042" s="161"/>
      <c r="G1042" s="161"/>
      <c r="I1042" s="161"/>
      <c r="K1042" s="161"/>
      <c r="Q1042" s="143"/>
      <c r="R1042" s="143"/>
      <c r="S1042" s="143"/>
      <c r="T1042" s="140"/>
      <c r="U1042" s="140"/>
      <c r="V1042" s="140"/>
      <c r="W1042" s="140"/>
      <c r="X1042" s="140"/>
      <c r="Y1042" s="140"/>
      <c r="Z1042" s="140"/>
    </row>
    <row r="1043" spans="6:26" s="141" customFormat="1">
      <c r="F1043" s="161"/>
      <c r="G1043" s="161"/>
      <c r="I1043" s="161"/>
      <c r="K1043" s="161"/>
      <c r="Q1043" s="143"/>
      <c r="R1043" s="143"/>
      <c r="S1043" s="143"/>
      <c r="T1043" s="140"/>
      <c r="U1043" s="140"/>
      <c r="V1043" s="140"/>
      <c r="W1043" s="140"/>
      <c r="X1043" s="140"/>
      <c r="Y1043" s="140"/>
      <c r="Z1043" s="140"/>
    </row>
    <row r="1044" spans="6:26" s="141" customFormat="1">
      <c r="F1044" s="161"/>
      <c r="G1044" s="161"/>
      <c r="I1044" s="161"/>
      <c r="K1044" s="161"/>
      <c r="Q1044" s="143"/>
      <c r="R1044" s="143"/>
      <c r="S1044" s="143"/>
      <c r="T1044" s="140"/>
      <c r="U1044" s="140"/>
      <c r="V1044" s="140"/>
      <c r="W1044" s="140"/>
      <c r="X1044" s="140"/>
      <c r="Y1044" s="140"/>
      <c r="Z1044" s="140"/>
    </row>
    <row r="1045" spans="6:26" s="141" customFormat="1">
      <c r="F1045" s="161"/>
      <c r="G1045" s="161"/>
      <c r="I1045" s="161"/>
      <c r="K1045" s="161"/>
      <c r="Q1045" s="143"/>
      <c r="R1045" s="143"/>
      <c r="S1045" s="143"/>
      <c r="T1045" s="140"/>
      <c r="U1045" s="140"/>
      <c r="V1045" s="140"/>
      <c r="W1045" s="140"/>
      <c r="X1045" s="140"/>
      <c r="Y1045" s="140"/>
      <c r="Z1045" s="140"/>
    </row>
    <row r="1046" spans="6:26" s="141" customFormat="1">
      <c r="F1046" s="161"/>
      <c r="G1046" s="161"/>
      <c r="I1046" s="161"/>
      <c r="K1046" s="161"/>
      <c r="Q1046" s="143"/>
      <c r="R1046" s="143"/>
      <c r="S1046" s="143"/>
      <c r="T1046" s="140"/>
      <c r="U1046" s="140"/>
      <c r="V1046" s="140"/>
      <c r="W1046" s="140"/>
      <c r="X1046" s="140"/>
      <c r="Y1046" s="140"/>
      <c r="Z1046" s="140"/>
    </row>
    <row r="1047" spans="6:26" s="141" customFormat="1">
      <c r="F1047" s="161"/>
      <c r="G1047" s="161"/>
      <c r="I1047" s="161"/>
      <c r="K1047" s="161"/>
      <c r="Q1047" s="143"/>
      <c r="R1047" s="143"/>
      <c r="S1047" s="143"/>
      <c r="T1047" s="140"/>
      <c r="U1047" s="140"/>
      <c r="V1047" s="140"/>
      <c r="W1047" s="140"/>
      <c r="X1047" s="140"/>
      <c r="Y1047" s="140"/>
      <c r="Z1047" s="140"/>
    </row>
    <row r="1048" spans="6:26" s="141" customFormat="1">
      <c r="F1048" s="161"/>
      <c r="G1048" s="161"/>
      <c r="I1048" s="161"/>
      <c r="K1048" s="161"/>
      <c r="Q1048" s="143"/>
      <c r="R1048" s="143"/>
      <c r="S1048" s="143"/>
      <c r="T1048" s="140"/>
      <c r="U1048" s="140"/>
      <c r="V1048" s="140"/>
      <c r="W1048" s="140"/>
      <c r="X1048" s="140"/>
      <c r="Y1048" s="140"/>
      <c r="Z1048" s="140"/>
    </row>
    <row r="1049" spans="6:26" s="141" customFormat="1">
      <c r="F1049" s="161"/>
      <c r="G1049" s="161"/>
      <c r="I1049" s="161"/>
      <c r="K1049" s="161"/>
      <c r="Q1049" s="143"/>
      <c r="R1049" s="143"/>
      <c r="S1049" s="143"/>
      <c r="T1049" s="140"/>
      <c r="U1049" s="140"/>
      <c r="V1049" s="140"/>
      <c r="W1049" s="140"/>
      <c r="X1049" s="140"/>
      <c r="Y1049" s="140"/>
      <c r="Z1049" s="140"/>
    </row>
    <row r="1050" spans="6:26" s="141" customFormat="1">
      <c r="F1050" s="161"/>
      <c r="G1050" s="161"/>
      <c r="I1050" s="161"/>
      <c r="K1050" s="161"/>
      <c r="Q1050" s="143"/>
      <c r="R1050" s="143"/>
      <c r="S1050" s="143"/>
      <c r="T1050" s="140"/>
      <c r="U1050" s="140"/>
      <c r="V1050" s="140"/>
      <c r="W1050" s="140"/>
      <c r="X1050" s="140"/>
      <c r="Y1050" s="140"/>
      <c r="Z1050" s="140"/>
    </row>
    <row r="1051" spans="6:26" s="141" customFormat="1">
      <c r="F1051" s="161"/>
      <c r="G1051" s="161"/>
      <c r="I1051" s="161"/>
      <c r="K1051" s="161"/>
      <c r="Q1051" s="143"/>
      <c r="R1051" s="143"/>
      <c r="S1051" s="143"/>
      <c r="T1051" s="140"/>
      <c r="U1051" s="140"/>
      <c r="V1051" s="140"/>
      <c r="W1051" s="140"/>
      <c r="X1051" s="140"/>
      <c r="Y1051" s="140"/>
      <c r="Z1051" s="140"/>
    </row>
    <row r="1052" spans="6:26" s="141" customFormat="1">
      <c r="F1052" s="161"/>
      <c r="G1052" s="161"/>
      <c r="I1052" s="161"/>
      <c r="K1052" s="161"/>
      <c r="Q1052" s="143"/>
      <c r="R1052" s="143"/>
      <c r="S1052" s="143"/>
      <c r="T1052" s="140"/>
      <c r="U1052" s="140"/>
      <c r="V1052" s="140"/>
      <c r="W1052" s="140"/>
      <c r="X1052" s="140"/>
      <c r="Y1052" s="140"/>
      <c r="Z1052" s="140"/>
    </row>
    <row r="1053" spans="6:26" s="141" customFormat="1">
      <c r="F1053" s="161"/>
      <c r="G1053" s="161"/>
      <c r="I1053" s="161"/>
      <c r="K1053" s="161"/>
      <c r="Q1053" s="143"/>
      <c r="R1053" s="143"/>
      <c r="S1053" s="143"/>
      <c r="T1053" s="140"/>
      <c r="U1053" s="140"/>
      <c r="V1053" s="140"/>
      <c r="W1053" s="140"/>
      <c r="X1053" s="140"/>
      <c r="Y1053" s="140"/>
      <c r="Z1053" s="140"/>
    </row>
    <row r="1054" spans="6:26" s="141" customFormat="1">
      <c r="F1054" s="161"/>
      <c r="G1054" s="161"/>
      <c r="I1054" s="161"/>
      <c r="K1054" s="161"/>
      <c r="Q1054" s="143"/>
      <c r="R1054" s="143"/>
      <c r="S1054" s="143"/>
      <c r="T1054" s="140"/>
      <c r="U1054" s="140"/>
      <c r="V1054" s="140"/>
      <c r="W1054" s="140"/>
      <c r="X1054" s="140"/>
      <c r="Y1054" s="140"/>
      <c r="Z1054" s="140"/>
    </row>
    <row r="1055" spans="6:26" s="141" customFormat="1">
      <c r="F1055" s="161"/>
      <c r="G1055" s="161"/>
      <c r="I1055" s="161"/>
      <c r="K1055" s="161"/>
      <c r="Q1055" s="143"/>
      <c r="R1055" s="143"/>
      <c r="S1055" s="143"/>
      <c r="T1055" s="140"/>
      <c r="U1055" s="140"/>
      <c r="V1055" s="140"/>
      <c r="W1055" s="140"/>
      <c r="X1055" s="140"/>
      <c r="Y1055" s="140"/>
      <c r="Z1055" s="140"/>
    </row>
    <row r="1056" spans="6:26" s="141" customFormat="1">
      <c r="F1056" s="161"/>
      <c r="G1056" s="161"/>
      <c r="I1056" s="161"/>
      <c r="K1056" s="161"/>
      <c r="Q1056" s="143"/>
      <c r="R1056" s="143"/>
      <c r="S1056" s="143"/>
      <c r="T1056" s="140"/>
      <c r="U1056" s="140"/>
      <c r="V1056" s="140"/>
      <c r="W1056" s="140"/>
      <c r="X1056" s="140"/>
      <c r="Y1056" s="140"/>
      <c r="Z1056" s="140"/>
    </row>
    <row r="1057" spans="6:26" s="141" customFormat="1">
      <c r="F1057" s="161"/>
      <c r="G1057" s="161"/>
      <c r="I1057" s="161"/>
      <c r="K1057" s="161"/>
      <c r="Q1057" s="143"/>
      <c r="R1057" s="143"/>
      <c r="S1057" s="143"/>
      <c r="T1057" s="140"/>
      <c r="U1057" s="140"/>
      <c r="V1057" s="140"/>
      <c r="W1057" s="140"/>
      <c r="X1057" s="140"/>
      <c r="Y1057" s="140"/>
      <c r="Z1057" s="140"/>
    </row>
    <row r="1058" spans="6:26" s="141" customFormat="1">
      <c r="F1058" s="161"/>
      <c r="G1058" s="161"/>
      <c r="I1058" s="161"/>
      <c r="K1058" s="161"/>
      <c r="Q1058" s="143"/>
      <c r="R1058" s="143"/>
      <c r="S1058" s="143"/>
      <c r="T1058" s="140"/>
      <c r="U1058" s="140"/>
      <c r="V1058" s="140"/>
      <c r="W1058" s="140"/>
      <c r="X1058" s="140"/>
      <c r="Y1058" s="140"/>
      <c r="Z1058" s="140"/>
    </row>
    <row r="1059" spans="6:26" s="141" customFormat="1">
      <c r="F1059" s="161"/>
      <c r="G1059" s="161"/>
      <c r="I1059" s="161"/>
      <c r="K1059" s="161"/>
      <c r="Q1059" s="143"/>
      <c r="R1059" s="143"/>
      <c r="S1059" s="143"/>
      <c r="T1059" s="140"/>
      <c r="U1059" s="140"/>
      <c r="V1059" s="140"/>
      <c r="W1059" s="140"/>
      <c r="X1059" s="140"/>
      <c r="Y1059" s="140"/>
      <c r="Z1059" s="140"/>
    </row>
    <row r="1060" spans="6:26" s="141" customFormat="1">
      <c r="F1060" s="161"/>
      <c r="G1060" s="161"/>
      <c r="I1060" s="161"/>
      <c r="K1060" s="161"/>
      <c r="Q1060" s="143"/>
      <c r="R1060" s="143"/>
      <c r="S1060" s="143"/>
      <c r="T1060" s="140"/>
      <c r="U1060" s="140"/>
      <c r="V1060" s="140"/>
      <c r="W1060" s="140"/>
      <c r="X1060" s="140"/>
      <c r="Y1060" s="140"/>
      <c r="Z1060" s="140"/>
    </row>
    <row r="1061" spans="6:26" s="141" customFormat="1">
      <c r="F1061" s="161"/>
      <c r="G1061" s="161"/>
      <c r="I1061" s="161"/>
      <c r="K1061" s="161"/>
      <c r="Q1061" s="143"/>
      <c r="R1061" s="143"/>
      <c r="S1061" s="143"/>
      <c r="T1061" s="140"/>
      <c r="U1061" s="140"/>
      <c r="V1061" s="140"/>
      <c r="W1061" s="140"/>
      <c r="X1061" s="140"/>
      <c r="Y1061" s="140"/>
      <c r="Z1061" s="140"/>
    </row>
    <row r="1062" spans="6:26" s="141" customFormat="1">
      <c r="F1062" s="161"/>
      <c r="G1062" s="161"/>
      <c r="I1062" s="161"/>
      <c r="K1062" s="161"/>
      <c r="Q1062" s="143"/>
      <c r="R1062" s="143"/>
      <c r="S1062" s="143"/>
      <c r="T1062" s="140"/>
      <c r="U1062" s="140"/>
      <c r="V1062" s="140"/>
      <c r="W1062" s="140"/>
      <c r="X1062" s="140"/>
      <c r="Y1062" s="140"/>
      <c r="Z1062" s="140"/>
    </row>
    <row r="1063" spans="6:26" s="141" customFormat="1">
      <c r="F1063" s="161"/>
      <c r="G1063" s="161"/>
      <c r="I1063" s="161"/>
      <c r="K1063" s="161"/>
      <c r="Q1063" s="143"/>
      <c r="R1063" s="143"/>
      <c r="S1063" s="143"/>
      <c r="T1063" s="140"/>
      <c r="U1063" s="140"/>
      <c r="V1063" s="140"/>
      <c r="W1063" s="140"/>
      <c r="X1063" s="140"/>
      <c r="Y1063" s="140"/>
      <c r="Z1063" s="140"/>
    </row>
    <row r="1064" spans="6:26" s="141" customFormat="1">
      <c r="F1064" s="161"/>
      <c r="G1064" s="161"/>
      <c r="I1064" s="161"/>
      <c r="K1064" s="161"/>
      <c r="Q1064" s="143"/>
      <c r="R1064" s="143"/>
      <c r="S1064" s="143"/>
      <c r="T1064" s="140"/>
      <c r="U1064" s="140"/>
      <c r="V1064" s="140"/>
      <c r="W1064" s="140"/>
      <c r="X1064" s="140"/>
      <c r="Y1064" s="140"/>
      <c r="Z1064" s="140"/>
    </row>
    <row r="1065" spans="6:26" s="141" customFormat="1">
      <c r="F1065" s="161"/>
      <c r="G1065" s="161"/>
      <c r="I1065" s="161"/>
      <c r="K1065" s="161"/>
      <c r="Q1065" s="143"/>
      <c r="R1065" s="143"/>
      <c r="S1065" s="143"/>
      <c r="T1065" s="140"/>
      <c r="U1065" s="140"/>
      <c r="V1065" s="140"/>
      <c r="W1065" s="140"/>
      <c r="X1065" s="140"/>
      <c r="Y1065" s="140"/>
      <c r="Z1065" s="140"/>
    </row>
    <row r="1066" spans="6:26" s="141" customFormat="1">
      <c r="F1066" s="161"/>
      <c r="G1066" s="161"/>
      <c r="I1066" s="161"/>
      <c r="K1066" s="161"/>
      <c r="Q1066" s="143"/>
      <c r="R1066" s="143"/>
      <c r="S1066" s="143"/>
      <c r="T1066" s="140"/>
      <c r="U1066" s="140"/>
      <c r="V1066" s="140"/>
      <c r="W1066" s="140"/>
      <c r="X1066" s="140"/>
      <c r="Y1066" s="140"/>
      <c r="Z1066" s="140"/>
    </row>
    <row r="1067" spans="6:26" s="141" customFormat="1">
      <c r="F1067" s="161"/>
      <c r="G1067" s="161"/>
      <c r="I1067" s="161"/>
      <c r="K1067" s="161"/>
      <c r="Q1067" s="143"/>
      <c r="R1067" s="143"/>
      <c r="S1067" s="143"/>
      <c r="T1067" s="140"/>
      <c r="U1067" s="140"/>
      <c r="V1067" s="140"/>
      <c r="W1067" s="140"/>
      <c r="X1067" s="140"/>
      <c r="Y1067" s="140"/>
      <c r="Z1067" s="140"/>
    </row>
    <row r="1068" spans="6:26" s="141" customFormat="1">
      <c r="F1068" s="161"/>
      <c r="G1068" s="161"/>
      <c r="I1068" s="161"/>
      <c r="K1068" s="161"/>
      <c r="Q1068" s="143"/>
      <c r="R1068" s="143"/>
      <c r="S1068" s="143"/>
      <c r="T1068" s="140"/>
      <c r="U1068" s="140"/>
      <c r="V1068" s="140"/>
      <c r="W1068" s="140"/>
      <c r="X1068" s="140"/>
      <c r="Y1068" s="140"/>
      <c r="Z1068" s="140"/>
    </row>
    <row r="1069" spans="6:26" s="141" customFormat="1">
      <c r="F1069" s="161"/>
      <c r="G1069" s="161"/>
      <c r="I1069" s="161"/>
      <c r="K1069" s="161"/>
      <c r="Q1069" s="143"/>
      <c r="R1069" s="143"/>
      <c r="S1069" s="143"/>
      <c r="T1069" s="140"/>
      <c r="U1069" s="140"/>
      <c r="V1069" s="140"/>
      <c r="W1069" s="140"/>
      <c r="X1069" s="140"/>
      <c r="Y1069" s="140"/>
      <c r="Z1069" s="140"/>
    </row>
    <row r="1070" spans="6:26" s="141" customFormat="1">
      <c r="F1070" s="161"/>
      <c r="G1070" s="161"/>
      <c r="I1070" s="161"/>
      <c r="K1070" s="161"/>
      <c r="Q1070" s="143"/>
      <c r="R1070" s="143"/>
      <c r="S1070" s="143"/>
      <c r="T1070" s="140"/>
      <c r="U1070" s="140"/>
      <c r="V1070" s="140"/>
      <c r="W1070" s="140"/>
      <c r="X1070" s="140"/>
      <c r="Y1070" s="140"/>
      <c r="Z1070" s="140"/>
    </row>
    <row r="1071" spans="6:26" s="141" customFormat="1">
      <c r="F1071" s="161"/>
      <c r="G1071" s="161"/>
      <c r="I1071" s="161"/>
      <c r="K1071" s="161"/>
      <c r="Q1071" s="143"/>
      <c r="R1071" s="143"/>
      <c r="S1071" s="143"/>
      <c r="T1071" s="140"/>
      <c r="U1071" s="140"/>
      <c r="V1071" s="140"/>
      <c r="W1071" s="140"/>
      <c r="X1071" s="140"/>
      <c r="Y1071" s="140"/>
      <c r="Z1071" s="140"/>
    </row>
    <row r="1072" spans="6:26" s="141" customFormat="1">
      <c r="F1072" s="161"/>
      <c r="G1072" s="161"/>
      <c r="I1072" s="161"/>
      <c r="K1072" s="161"/>
      <c r="Q1072" s="143"/>
      <c r="R1072" s="143"/>
      <c r="S1072" s="143"/>
      <c r="T1072" s="140"/>
      <c r="U1072" s="140"/>
      <c r="V1072" s="140"/>
      <c r="W1072" s="140"/>
      <c r="X1072" s="140"/>
      <c r="Y1072" s="140"/>
      <c r="Z1072" s="140"/>
    </row>
    <row r="1073" spans="6:26" s="141" customFormat="1">
      <c r="F1073" s="161"/>
      <c r="G1073" s="161"/>
      <c r="I1073" s="161"/>
      <c r="K1073" s="161"/>
      <c r="Q1073" s="143"/>
      <c r="R1073" s="143"/>
      <c r="S1073" s="143"/>
      <c r="T1073" s="140"/>
      <c r="U1073" s="140"/>
      <c r="V1073" s="140"/>
      <c r="W1073" s="140"/>
      <c r="X1073" s="140"/>
      <c r="Y1073" s="140"/>
      <c r="Z1073" s="140"/>
    </row>
    <row r="1074" spans="6:26" s="141" customFormat="1">
      <c r="F1074" s="161"/>
      <c r="G1074" s="161"/>
      <c r="I1074" s="161"/>
      <c r="K1074" s="161"/>
      <c r="Q1074" s="143"/>
      <c r="R1074" s="143"/>
      <c r="S1074" s="143"/>
      <c r="T1074" s="140"/>
      <c r="U1074" s="140"/>
      <c r="V1074" s="140"/>
      <c r="W1074" s="140"/>
      <c r="X1074" s="140"/>
      <c r="Y1074" s="140"/>
      <c r="Z1074" s="140"/>
    </row>
    <row r="1075" spans="6:26" s="141" customFormat="1">
      <c r="F1075" s="161"/>
      <c r="G1075" s="161"/>
      <c r="I1075" s="161"/>
      <c r="K1075" s="161"/>
      <c r="Q1075" s="143"/>
      <c r="R1075" s="143"/>
      <c r="S1075" s="143"/>
      <c r="T1075" s="140"/>
      <c r="U1075" s="140"/>
      <c r="V1075" s="140"/>
      <c r="W1075" s="140"/>
      <c r="X1075" s="140"/>
      <c r="Y1075" s="140"/>
      <c r="Z1075" s="140"/>
    </row>
    <row r="1076" spans="6:26" s="141" customFormat="1">
      <c r="F1076" s="161"/>
      <c r="G1076" s="161"/>
      <c r="I1076" s="161"/>
      <c r="K1076" s="161"/>
      <c r="Q1076" s="143"/>
      <c r="R1076" s="143"/>
      <c r="S1076" s="143"/>
      <c r="T1076" s="140"/>
      <c r="U1076" s="140"/>
      <c r="V1076" s="140"/>
      <c r="W1076" s="140"/>
      <c r="X1076" s="140"/>
      <c r="Y1076" s="140"/>
      <c r="Z1076" s="140"/>
    </row>
    <row r="1077" spans="6:26" s="141" customFormat="1">
      <c r="F1077" s="161"/>
      <c r="G1077" s="161"/>
      <c r="I1077" s="161"/>
      <c r="K1077" s="161"/>
      <c r="Q1077" s="143"/>
      <c r="R1077" s="143"/>
      <c r="S1077" s="143"/>
      <c r="T1077" s="140"/>
      <c r="U1077" s="140"/>
      <c r="V1077" s="140"/>
      <c r="W1077" s="140"/>
      <c r="X1077" s="140"/>
      <c r="Y1077" s="140"/>
      <c r="Z1077" s="140"/>
    </row>
    <row r="1078" spans="6:26" s="141" customFormat="1">
      <c r="F1078" s="161"/>
      <c r="G1078" s="161"/>
      <c r="I1078" s="161"/>
      <c r="K1078" s="161"/>
      <c r="Q1078" s="143"/>
      <c r="R1078" s="143"/>
      <c r="S1078" s="143"/>
      <c r="T1078" s="140"/>
      <c r="U1078" s="140"/>
      <c r="V1078" s="140"/>
      <c r="W1078" s="140"/>
      <c r="X1078" s="140"/>
      <c r="Y1078" s="140"/>
      <c r="Z1078" s="140"/>
    </row>
    <row r="1079" spans="6:26" s="141" customFormat="1">
      <c r="F1079" s="161"/>
      <c r="G1079" s="161"/>
      <c r="I1079" s="161"/>
      <c r="K1079" s="161"/>
      <c r="Q1079" s="143"/>
      <c r="R1079" s="143"/>
      <c r="S1079" s="143"/>
      <c r="T1079" s="140"/>
      <c r="U1079" s="140"/>
      <c r="V1079" s="140"/>
      <c r="W1079" s="140"/>
      <c r="X1079" s="140"/>
      <c r="Y1079" s="140"/>
      <c r="Z1079" s="140"/>
    </row>
    <row r="1080" spans="6:26" s="141" customFormat="1">
      <c r="F1080" s="161"/>
      <c r="G1080" s="161"/>
      <c r="I1080" s="161"/>
      <c r="K1080" s="161"/>
      <c r="Q1080" s="143"/>
      <c r="R1080" s="143"/>
      <c r="S1080" s="143"/>
      <c r="T1080" s="140"/>
      <c r="U1080" s="140"/>
      <c r="V1080" s="140"/>
      <c r="W1080" s="140"/>
      <c r="X1080" s="140"/>
      <c r="Y1080" s="140"/>
      <c r="Z1080" s="140"/>
    </row>
    <row r="1081" spans="6:26" s="141" customFormat="1">
      <c r="F1081" s="161"/>
      <c r="G1081" s="161"/>
      <c r="I1081" s="161"/>
      <c r="K1081" s="161"/>
      <c r="Q1081" s="143"/>
      <c r="R1081" s="143"/>
      <c r="S1081" s="143"/>
      <c r="T1081" s="140"/>
      <c r="U1081" s="140"/>
      <c r="V1081" s="140"/>
      <c r="W1081" s="140"/>
      <c r="X1081" s="140"/>
      <c r="Y1081" s="140"/>
      <c r="Z1081" s="140"/>
    </row>
    <row r="1082" spans="6:26" s="141" customFormat="1">
      <c r="F1082" s="161"/>
      <c r="G1082" s="161"/>
      <c r="I1082" s="161"/>
      <c r="K1082" s="161"/>
      <c r="Q1082" s="143"/>
      <c r="R1082" s="143"/>
      <c r="S1082" s="143"/>
      <c r="T1082" s="140"/>
      <c r="U1082" s="140"/>
      <c r="V1082" s="140"/>
      <c r="W1082" s="140"/>
      <c r="X1082" s="140"/>
      <c r="Y1082" s="140"/>
      <c r="Z1082" s="140"/>
    </row>
    <row r="1083" spans="6:26" s="141" customFormat="1">
      <c r="F1083" s="161"/>
      <c r="G1083" s="161"/>
      <c r="I1083" s="161"/>
      <c r="K1083" s="161"/>
      <c r="Q1083" s="143"/>
      <c r="R1083" s="143"/>
      <c r="S1083" s="143"/>
      <c r="T1083" s="140"/>
      <c r="U1083" s="140"/>
      <c r="V1083" s="140"/>
      <c r="W1083" s="140"/>
      <c r="X1083" s="140"/>
      <c r="Y1083" s="140"/>
      <c r="Z1083" s="140"/>
    </row>
    <row r="1084" spans="6:26" s="141" customFormat="1">
      <c r="F1084" s="161"/>
      <c r="G1084" s="161"/>
      <c r="I1084" s="161"/>
      <c r="K1084" s="161"/>
      <c r="Q1084" s="143"/>
      <c r="R1084" s="143"/>
      <c r="S1084" s="143"/>
      <c r="T1084" s="140"/>
      <c r="U1084" s="140"/>
      <c r="V1084" s="140"/>
      <c r="W1084" s="140"/>
      <c r="X1084" s="140"/>
      <c r="Y1084" s="140"/>
      <c r="Z1084" s="140"/>
    </row>
    <row r="1085" spans="6:26" s="141" customFormat="1">
      <c r="F1085" s="161"/>
      <c r="G1085" s="161"/>
      <c r="I1085" s="161"/>
      <c r="K1085" s="161"/>
      <c r="Q1085" s="143"/>
      <c r="R1085" s="143"/>
      <c r="S1085" s="143"/>
      <c r="T1085" s="140"/>
      <c r="U1085" s="140"/>
      <c r="V1085" s="140"/>
      <c r="W1085" s="140"/>
      <c r="X1085" s="140"/>
      <c r="Y1085" s="140"/>
      <c r="Z1085" s="140"/>
    </row>
    <row r="1086" spans="6:26" s="141" customFormat="1">
      <c r="F1086" s="161"/>
      <c r="G1086" s="161"/>
      <c r="I1086" s="161"/>
      <c r="K1086" s="161"/>
      <c r="Q1086" s="143"/>
      <c r="R1086" s="143"/>
      <c r="S1086" s="143"/>
      <c r="T1086" s="140"/>
      <c r="U1086" s="140"/>
      <c r="V1086" s="140"/>
      <c r="W1086" s="140"/>
      <c r="X1086" s="140"/>
      <c r="Y1086" s="140"/>
      <c r="Z1086" s="140"/>
    </row>
    <row r="1087" spans="6:26" s="141" customFormat="1">
      <c r="F1087" s="161"/>
      <c r="G1087" s="161"/>
      <c r="I1087" s="161"/>
      <c r="K1087" s="161"/>
      <c r="Q1087" s="143"/>
      <c r="R1087" s="143"/>
      <c r="S1087" s="143"/>
      <c r="T1087" s="140"/>
      <c r="U1087" s="140"/>
      <c r="V1087" s="140"/>
      <c r="W1087" s="140"/>
      <c r="X1087" s="140"/>
      <c r="Y1087" s="140"/>
      <c r="Z1087" s="140"/>
    </row>
    <row r="1088" spans="6:26" s="141" customFormat="1">
      <c r="F1088" s="161"/>
      <c r="G1088" s="161"/>
      <c r="I1088" s="161"/>
      <c r="K1088" s="161"/>
      <c r="Q1088" s="143"/>
      <c r="R1088" s="143"/>
      <c r="S1088" s="143"/>
      <c r="T1088" s="140"/>
      <c r="U1088" s="140"/>
      <c r="V1088" s="140"/>
      <c r="W1088" s="140"/>
      <c r="X1088" s="140"/>
      <c r="Y1088" s="140"/>
      <c r="Z1088" s="140"/>
    </row>
    <row r="1089" spans="6:26" s="141" customFormat="1">
      <c r="F1089" s="161"/>
      <c r="G1089" s="161"/>
      <c r="I1089" s="161"/>
      <c r="K1089" s="161"/>
      <c r="Q1089" s="143"/>
      <c r="R1089" s="143"/>
      <c r="S1089" s="143"/>
      <c r="T1089" s="140"/>
      <c r="U1089" s="140"/>
      <c r="V1089" s="140"/>
      <c r="W1089" s="140"/>
      <c r="X1089" s="140"/>
      <c r="Y1089" s="140"/>
      <c r="Z1089" s="140"/>
    </row>
    <row r="1090" spans="6:26" s="141" customFormat="1">
      <c r="F1090" s="161"/>
      <c r="G1090" s="161"/>
      <c r="I1090" s="161"/>
      <c r="K1090" s="161"/>
      <c r="Q1090" s="143"/>
      <c r="R1090" s="143"/>
      <c r="S1090" s="143"/>
      <c r="T1090" s="140"/>
      <c r="U1090" s="140"/>
      <c r="V1090" s="140"/>
      <c r="W1090" s="140"/>
      <c r="X1090" s="140"/>
      <c r="Y1090" s="140"/>
      <c r="Z1090" s="140"/>
    </row>
    <row r="1091" spans="6:26" s="141" customFormat="1">
      <c r="F1091" s="161"/>
      <c r="G1091" s="161"/>
      <c r="I1091" s="161"/>
      <c r="K1091" s="161"/>
      <c r="Q1091" s="143"/>
      <c r="R1091" s="143"/>
      <c r="S1091" s="143"/>
      <c r="T1091" s="140"/>
      <c r="U1091" s="140"/>
      <c r="V1091" s="140"/>
      <c r="W1091" s="140"/>
      <c r="X1091" s="140"/>
      <c r="Y1091" s="140"/>
      <c r="Z1091" s="140"/>
    </row>
    <row r="1092" spans="6:26" s="141" customFormat="1">
      <c r="F1092" s="161"/>
      <c r="G1092" s="161"/>
      <c r="I1092" s="161"/>
      <c r="K1092" s="161"/>
      <c r="Q1092" s="143"/>
      <c r="R1092" s="143"/>
      <c r="S1092" s="143"/>
      <c r="T1092" s="140"/>
      <c r="U1092" s="140"/>
      <c r="V1092" s="140"/>
      <c r="W1092" s="140"/>
      <c r="X1092" s="140"/>
      <c r="Y1092" s="140"/>
      <c r="Z1092" s="140"/>
    </row>
    <row r="1093" spans="6:26" s="141" customFormat="1">
      <c r="F1093" s="161"/>
      <c r="G1093" s="161"/>
      <c r="I1093" s="161"/>
      <c r="K1093" s="161"/>
      <c r="Q1093" s="143"/>
      <c r="R1093" s="143"/>
      <c r="S1093" s="143"/>
      <c r="T1093" s="140"/>
      <c r="U1093" s="140"/>
      <c r="V1093" s="140"/>
      <c r="W1093" s="140"/>
      <c r="X1093" s="140"/>
      <c r="Y1093" s="140"/>
      <c r="Z1093" s="140"/>
    </row>
    <row r="1094" spans="6:26" s="141" customFormat="1">
      <c r="F1094" s="161"/>
      <c r="G1094" s="161"/>
      <c r="I1094" s="161"/>
      <c r="K1094" s="161"/>
      <c r="Q1094" s="143"/>
      <c r="R1094" s="143"/>
      <c r="S1094" s="143"/>
      <c r="T1094" s="140"/>
      <c r="U1094" s="140"/>
      <c r="V1094" s="140"/>
      <c r="W1094" s="140"/>
      <c r="X1094" s="140"/>
      <c r="Y1094" s="140"/>
      <c r="Z1094" s="140"/>
    </row>
    <row r="1095" spans="6:26" s="141" customFormat="1">
      <c r="F1095" s="161"/>
      <c r="G1095" s="161"/>
      <c r="I1095" s="161"/>
      <c r="K1095" s="161"/>
      <c r="Q1095" s="143"/>
      <c r="R1095" s="143"/>
      <c r="S1095" s="143"/>
      <c r="T1095" s="140"/>
      <c r="U1095" s="140"/>
      <c r="V1095" s="140"/>
      <c r="W1095" s="140"/>
      <c r="X1095" s="140"/>
      <c r="Y1095" s="140"/>
      <c r="Z1095" s="140"/>
    </row>
    <row r="1096" spans="6:26" s="141" customFormat="1">
      <c r="F1096" s="161"/>
      <c r="G1096" s="161"/>
      <c r="I1096" s="161"/>
      <c r="K1096" s="161"/>
      <c r="Q1096" s="143"/>
      <c r="R1096" s="143"/>
      <c r="S1096" s="143"/>
      <c r="T1096" s="140"/>
      <c r="U1096" s="140"/>
      <c r="V1096" s="140"/>
      <c r="W1096" s="140"/>
      <c r="X1096" s="140"/>
      <c r="Y1096" s="140"/>
      <c r="Z1096" s="140"/>
    </row>
    <row r="1097" spans="6:26" s="141" customFormat="1">
      <c r="F1097" s="161"/>
      <c r="G1097" s="161"/>
      <c r="I1097" s="161"/>
      <c r="K1097" s="161"/>
      <c r="Q1097" s="143"/>
      <c r="R1097" s="143"/>
      <c r="S1097" s="143"/>
      <c r="T1097" s="140"/>
      <c r="U1097" s="140"/>
      <c r="V1097" s="140"/>
      <c r="W1097" s="140"/>
      <c r="X1097" s="140"/>
      <c r="Y1097" s="140"/>
      <c r="Z1097" s="140"/>
    </row>
    <row r="1098" spans="6:26" s="141" customFormat="1">
      <c r="F1098" s="161"/>
      <c r="G1098" s="161"/>
      <c r="I1098" s="161"/>
      <c r="K1098" s="161"/>
      <c r="Q1098" s="143"/>
      <c r="R1098" s="143"/>
      <c r="S1098" s="143"/>
      <c r="T1098" s="140"/>
      <c r="U1098" s="140"/>
      <c r="V1098" s="140"/>
      <c r="W1098" s="140"/>
      <c r="X1098" s="140"/>
      <c r="Y1098" s="140"/>
      <c r="Z1098" s="140"/>
    </row>
    <row r="1099" spans="6:26" s="141" customFormat="1">
      <c r="F1099" s="161"/>
      <c r="G1099" s="161"/>
      <c r="I1099" s="161"/>
      <c r="K1099" s="161"/>
      <c r="Q1099" s="143"/>
      <c r="R1099" s="143"/>
      <c r="S1099" s="143"/>
      <c r="T1099" s="140"/>
      <c r="U1099" s="140"/>
      <c r="V1099" s="140"/>
      <c r="W1099" s="140"/>
      <c r="X1099" s="140"/>
      <c r="Y1099" s="140"/>
      <c r="Z1099" s="140"/>
    </row>
    <row r="1100" spans="6:26" s="141" customFormat="1">
      <c r="F1100" s="161"/>
      <c r="G1100" s="161"/>
      <c r="I1100" s="161"/>
      <c r="K1100" s="161"/>
      <c r="Q1100" s="143"/>
      <c r="R1100" s="143"/>
      <c r="S1100" s="143"/>
      <c r="T1100" s="140"/>
      <c r="U1100" s="140"/>
      <c r="V1100" s="140"/>
      <c r="W1100" s="140"/>
      <c r="X1100" s="140"/>
      <c r="Y1100" s="140"/>
      <c r="Z1100" s="140"/>
    </row>
    <row r="1101" spans="6:26" s="141" customFormat="1">
      <c r="F1101" s="161"/>
      <c r="G1101" s="161"/>
      <c r="I1101" s="161"/>
      <c r="K1101" s="161"/>
      <c r="Q1101" s="143"/>
      <c r="R1101" s="143"/>
      <c r="S1101" s="143"/>
      <c r="T1101" s="140"/>
      <c r="U1101" s="140"/>
      <c r="V1101" s="140"/>
      <c r="W1101" s="140"/>
      <c r="X1101" s="140"/>
      <c r="Y1101" s="140"/>
      <c r="Z1101" s="140"/>
    </row>
    <row r="1102" spans="6:26" s="141" customFormat="1">
      <c r="F1102" s="161"/>
      <c r="G1102" s="161"/>
      <c r="I1102" s="161"/>
      <c r="K1102" s="161"/>
      <c r="Q1102" s="143"/>
      <c r="R1102" s="143"/>
      <c r="S1102" s="143"/>
      <c r="T1102" s="140"/>
      <c r="U1102" s="140"/>
      <c r="V1102" s="140"/>
      <c r="W1102" s="140"/>
      <c r="X1102" s="140"/>
      <c r="Y1102" s="140"/>
      <c r="Z1102" s="140"/>
    </row>
    <row r="1103" spans="6:26" s="141" customFormat="1">
      <c r="F1103" s="161"/>
      <c r="G1103" s="161"/>
      <c r="I1103" s="161"/>
      <c r="K1103" s="161"/>
      <c r="Q1103" s="143"/>
      <c r="R1103" s="143"/>
      <c r="S1103" s="143"/>
      <c r="T1103" s="140"/>
      <c r="U1103" s="140"/>
      <c r="V1103" s="140"/>
      <c r="W1103" s="140"/>
      <c r="X1103" s="140"/>
      <c r="Y1103" s="140"/>
      <c r="Z1103" s="140"/>
    </row>
    <row r="1104" spans="6:26" s="141" customFormat="1">
      <c r="F1104" s="161"/>
      <c r="G1104" s="161"/>
      <c r="I1104" s="161"/>
      <c r="K1104" s="161"/>
      <c r="Q1104" s="143"/>
      <c r="R1104" s="143"/>
      <c r="S1104" s="143"/>
      <c r="T1104" s="140"/>
      <c r="U1104" s="140"/>
      <c r="V1104" s="140"/>
      <c r="W1104" s="140"/>
      <c r="X1104" s="140"/>
      <c r="Y1104" s="140"/>
      <c r="Z1104" s="140"/>
    </row>
    <row r="1105" spans="6:26" s="141" customFormat="1">
      <c r="F1105" s="161"/>
      <c r="G1105" s="161"/>
      <c r="I1105" s="161"/>
      <c r="K1105" s="161"/>
      <c r="Q1105" s="143"/>
      <c r="R1105" s="143"/>
      <c r="S1105" s="143"/>
      <c r="T1105" s="140"/>
      <c r="U1105" s="140"/>
      <c r="V1105" s="140"/>
      <c r="W1105" s="140"/>
      <c r="X1105" s="140"/>
      <c r="Y1105" s="140"/>
      <c r="Z1105" s="140"/>
    </row>
    <row r="1106" spans="6:26" s="141" customFormat="1">
      <c r="F1106" s="161"/>
      <c r="G1106" s="161"/>
      <c r="I1106" s="161"/>
      <c r="K1106" s="161"/>
      <c r="Q1106" s="143"/>
      <c r="R1106" s="143"/>
      <c r="S1106" s="143"/>
      <c r="T1106" s="140"/>
      <c r="U1106" s="140"/>
      <c r="V1106" s="140"/>
      <c r="W1106" s="140"/>
      <c r="X1106" s="140"/>
      <c r="Y1106" s="140"/>
      <c r="Z1106" s="140"/>
    </row>
    <row r="1107" spans="6:26" s="141" customFormat="1">
      <c r="F1107" s="161"/>
      <c r="G1107" s="161"/>
      <c r="I1107" s="161"/>
      <c r="K1107" s="161"/>
      <c r="Q1107" s="143"/>
      <c r="R1107" s="143"/>
      <c r="S1107" s="143"/>
      <c r="T1107" s="140"/>
      <c r="U1107" s="140"/>
      <c r="V1107" s="140"/>
      <c r="W1107" s="140"/>
      <c r="X1107" s="140"/>
      <c r="Y1107" s="140"/>
      <c r="Z1107" s="140"/>
    </row>
    <row r="1108" spans="6:26" s="141" customFormat="1">
      <c r="F1108" s="161"/>
      <c r="G1108" s="161"/>
      <c r="I1108" s="161"/>
      <c r="K1108" s="161"/>
      <c r="Q1108" s="143"/>
      <c r="R1108" s="143"/>
      <c r="S1108" s="143"/>
      <c r="T1108" s="140"/>
      <c r="U1108" s="140"/>
      <c r="V1108" s="140"/>
      <c r="W1108" s="140"/>
      <c r="X1108" s="140"/>
      <c r="Y1108" s="140"/>
      <c r="Z1108" s="140"/>
    </row>
    <row r="1109" spans="6:26" s="141" customFormat="1">
      <c r="F1109" s="161"/>
      <c r="G1109" s="161"/>
      <c r="I1109" s="161"/>
      <c r="K1109" s="161"/>
      <c r="Q1109" s="143"/>
      <c r="R1109" s="143"/>
      <c r="S1109" s="143"/>
      <c r="T1109" s="140"/>
      <c r="U1109" s="140"/>
      <c r="V1109" s="140"/>
      <c r="W1109" s="140"/>
      <c r="X1109" s="140"/>
      <c r="Y1109" s="140"/>
      <c r="Z1109" s="140"/>
    </row>
    <row r="1110" spans="6:26" s="141" customFormat="1">
      <c r="F1110" s="161"/>
      <c r="G1110" s="161"/>
      <c r="I1110" s="161"/>
      <c r="K1110" s="161"/>
      <c r="Q1110" s="143"/>
      <c r="R1110" s="143"/>
      <c r="S1110" s="143"/>
      <c r="T1110" s="140"/>
      <c r="U1110" s="140"/>
      <c r="V1110" s="140"/>
      <c r="W1110" s="140"/>
      <c r="X1110" s="140"/>
      <c r="Y1110" s="140"/>
      <c r="Z1110" s="140"/>
    </row>
    <row r="1111" spans="6:26" s="141" customFormat="1">
      <c r="F1111" s="161"/>
      <c r="G1111" s="161"/>
      <c r="I1111" s="161"/>
      <c r="K1111" s="161"/>
      <c r="Q1111" s="143"/>
      <c r="R1111" s="143"/>
      <c r="S1111" s="143"/>
      <c r="T1111" s="140"/>
      <c r="U1111" s="140"/>
      <c r="V1111" s="140"/>
      <c r="W1111" s="140"/>
      <c r="X1111" s="140"/>
      <c r="Y1111" s="140"/>
      <c r="Z1111" s="140"/>
    </row>
    <row r="1112" spans="6:26" s="141" customFormat="1">
      <c r="F1112" s="161"/>
      <c r="G1112" s="161"/>
      <c r="I1112" s="161"/>
      <c r="K1112" s="161"/>
      <c r="Q1112" s="143"/>
      <c r="R1112" s="143"/>
      <c r="S1112" s="143"/>
      <c r="T1112" s="140"/>
      <c r="U1112" s="140"/>
      <c r="V1112" s="140"/>
      <c r="W1112" s="140"/>
      <c r="X1112" s="140"/>
      <c r="Y1112" s="140"/>
      <c r="Z1112" s="140"/>
    </row>
    <row r="1113" spans="6:26" s="141" customFormat="1">
      <c r="F1113" s="161"/>
      <c r="G1113" s="161"/>
      <c r="I1113" s="161"/>
      <c r="K1113" s="161"/>
      <c r="Q1113" s="143"/>
      <c r="R1113" s="143"/>
      <c r="S1113" s="143"/>
      <c r="T1113" s="140"/>
      <c r="U1113" s="140"/>
      <c r="V1113" s="140"/>
      <c r="W1113" s="140"/>
      <c r="X1113" s="140"/>
      <c r="Y1113" s="140"/>
      <c r="Z1113" s="140"/>
    </row>
    <row r="1114" spans="6:26" s="141" customFormat="1">
      <c r="F1114" s="161"/>
      <c r="G1114" s="161"/>
      <c r="I1114" s="161"/>
      <c r="K1114" s="161"/>
      <c r="Q1114" s="143"/>
      <c r="R1114" s="143"/>
      <c r="S1114" s="143"/>
      <c r="T1114" s="140"/>
      <c r="U1114" s="140"/>
      <c r="V1114" s="140"/>
      <c r="W1114" s="140"/>
      <c r="X1114" s="140"/>
      <c r="Y1114" s="140"/>
      <c r="Z1114" s="140"/>
    </row>
    <row r="1115" spans="6:26" s="141" customFormat="1">
      <c r="F1115" s="161"/>
      <c r="G1115" s="161"/>
      <c r="I1115" s="161"/>
      <c r="K1115" s="161"/>
      <c r="Q1115" s="143"/>
      <c r="R1115" s="143"/>
      <c r="S1115" s="143"/>
      <c r="T1115" s="140"/>
      <c r="U1115" s="140"/>
      <c r="V1115" s="140"/>
      <c r="W1115" s="140"/>
      <c r="X1115" s="140"/>
      <c r="Y1115" s="140"/>
      <c r="Z1115" s="140"/>
    </row>
    <row r="1116" spans="6:26" s="141" customFormat="1">
      <c r="F1116" s="161"/>
      <c r="G1116" s="161"/>
      <c r="I1116" s="161"/>
      <c r="K1116" s="161"/>
      <c r="Q1116" s="143"/>
      <c r="R1116" s="143"/>
      <c r="S1116" s="143"/>
      <c r="T1116" s="140"/>
      <c r="U1116" s="140"/>
      <c r="V1116" s="140"/>
      <c r="W1116" s="140"/>
      <c r="X1116" s="140"/>
      <c r="Y1116" s="140"/>
      <c r="Z1116" s="140"/>
    </row>
    <row r="1117" spans="6:26" s="141" customFormat="1">
      <c r="F1117" s="161"/>
      <c r="G1117" s="161"/>
      <c r="I1117" s="161"/>
      <c r="K1117" s="161"/>
      <c r="Q1117" s="143"/>
      <c r="R1117" s="143"/>
      <c r="S1117" s="143"/>
      <c r="T1117" s="140"/>
      <c r="U1117" s="140"/>
      <c r="V1117" s="140"/>
      <c r="W1117" s="140"/>
      <c r="X1117" s="140"/>
      <c r="Y1117" s="140"/>
      <c r="Z1117" s="140"/>
    </row>
    <row r="1118" spans="6:26" s="141" customFormat="1">
      <c r="F1118" s="161"/>
      <c r="G1118" s="161"/>
      <c r="I1118" s="161"/>
      <c r="K1118" s="161"/>
      <c r="Q1118" s="143"/>
      <c r="R1118" s="143"/>
      <c r="S1118" s="143"/>
      <c r="T1118" s="140"/>
      <c r="U1118" s="140"/>
      <c r="V1118" s="140"/>
      <c r="W1118" s="140"/>
      <c r="X1118" s="140"/>
      <c r="Y1118" s="140"/>
      <c r="Z1118" s="140"/>
    </row>
    <row r="1119" spans="6:26" s="141" customFormat="1">
      <c r="F1119" s="161"/>
      <c r="G1119" s="161"/>
      <c r="I1119" s="161"/>
      <c r="K1119" s="161"/>
      <c r="Q1119" s="143"/>
      <c r="R1119" s="143"/>
      <c r="S1119" s="143"/>
      <c r="T1119" s="140"/>
      <c r="U1119" s="140"/>
      <c r="V1119" s="140"/>
      <c r="W1119" s="140"/>
      <c r="X1119" s="140"/>
      <c r="Y1119" s="140"/>
      <c r="Z1119" s="140"/>
    </row>
    <row r="1120" spans="6:26" s="141" customFormat="1">
      <c r="F1120" s="161"/>
      <c r="G1120" s="161"/>
      <c r="I1120" s="161"/>
      <c r="K1120" s="161"/>
      <c r="Q1120" s="143"/>
      <c r="R1120" s="143"/>
      <c r="S1120" s="143"/>
      <c r="T1120" s="140"/>
      <c r="U1120" s="140"/>
      <c r="V1120" s="140"/>
      <c r="W1120" s="140"/>
      <c r="X1120" s="140"/>
      <c r="Y1120" s="140"/>
      <c r="Z1120" s="140"/>
    </row>
    <row r="1121" spans="6:26" s="141" customFormat="1">
      <c r="F1121" s="161"/>
      <c r="G1121" s="161"/>
      <c r="I1121" s="161"/>
      <c r="K1121" s="161"/>
      <c r="Q1121" s="143"/>
      <c r="R1121" s="143"/>
      <c r="S1121" s="143"/>
      <c r="T1121" s="140"/>
      <c r="U1121" s="140"/>
      <c r="V1121" s="140"/>
      <c r="W1121" s="140"/>
      <c r="X1121" s="140"/>
      <c r="Y1121" s="140"/>
      <c r="Z1121" s="140"/>
    </row>
    <row r="1122" spans="6:26" s="141" customFormat="1">
      <c r="F1122" s="161"/>
      <c r="G1122" s="161"/>
      <c r="I1122" s="161"/>
      <c r="K1122" s="161"/>
      <c r="Q1122" s="143"/>
      <c r="R1122" s="143"/>
      <c r="S1122" s="143"/>
      <c r="T1122" s="140"/>
      <c r="U1122" s="140"/>
      <c r="V1122" s="140"/>
      <c r="W1122" s="140"/>
      <c r="X1122" s="140"/>
      <c r="Y1122" s="140"/>
      <c r="Z1122" s="140"/>
    </row>
    <row r="1123" spans="6:26" s="141" customFormat="1">
      <c r="F1123" s="161"/>
      <c r="G1123" s="161"/>
      <c r="I1123" s="161"/>
      <c r="K1123" s="161"/>
      <c r="Q1123" s="143"/>
      <c r="R1123" s="143"/>
      <c r="S1123" s="143"/>
      <c r="T1123" s="140"/>
      <c r="U1123" s="140"/>
      <c r="V1123" s="140"/>
      <c r="W1123" s="140"/>
      <c r="X1123" s="140"/>
      <c r="Y1123" s="140"/>
      <c r="Z1123" s="140"/>
    </row>
    <row r="1124" spans="6:26" s="141" customFormat="1">
      <c r="F1124" s="161"/>
      <c r="G1124" s="161"/>
      <c r="I1124" s="161"/>
      <c r="K1124" s="161"/>
      <c r="Q1124" s="143"/>
      <c r="R1124" s="143"/>
      <c r="S1124" s="143"/>
      <c r="T1124" s="140"/>
      <c r="U1124" s="140"/>
      <c r="V1124" s="140"/>
      <c r="W1124" s="140"/>
      <c r="X1124" s="140"/>
      <c r="Y1124" s="140"/>
      <c r="Z1124" s="140"/>
    </row>
    <row r="1125" spans="6:26" s="141" customFormat="1">
      <c r="F1125" s="161"/>
      <c r="G1125" s="161"/>
      <c r="I1125" s="161"/>
      <c r="K1125" s="161"/>
      <c r="Q1125" s="143"/>
      <c r="R1125" s="143"/>
      <c r="S1125" s="143"/>
      <c r="T1125" s="140"/>
      <c r="U1125" s="140"/>
      <c r="V1125" s="140"/>
      <c r="W1125" s="140"/>
      <c r="X1125" s="140"/>
      <c r="Y1125" s="140"/>
      <c r="Z1125" s="140"/>
    </row>
    <row r="1126" spans="6:26" s="141" customFormat="1">
      <c r="F1126" s="161"/>
      <c r="G1126" s="161"/>
      <c r="I1126" s="161"/>
      <c r="K1126" s="161"/>
      <c r="Q1126" s="143"/>
      <c r="R1126" s="143"/>
      <c r="S1126" s="143"/>
      <c r="T1126" s="140"/>
      <c r="U1126" s="140"/>
      <c r="V1126" s="140"/>
      <c r="W1126" s="140"/>
      <c r="X1126" s="140"/>
      <c r="Y1126" s="140"/>
      <c r="Z1126" s="140"/>
    </row>
    <row r="1127" spans="6:26" s="141" customFormat="1">
      <c r="F1127" s="161"/>
      <c r="G1127" s="161"/>
      <c r="I1127" s="161"/>
      <c r="K1127" s="161"/>
      <c r="Q1127" s="143"/>
      <c r="R1127" s="143"/>
      <c r="S1127" s="143"/>
      <c r="T1127" s="140"/>
      <c r="U1127" s="140"/>
      <c r="V1127" s="140"/>
      <c r="W1127" s="140"/>
      <c r="X1127" s="140"/>
      <c r="Y1127" s="140"/>
      <c r="Z1127" s="140"/>
    </row>
    <row r="1128" spans="6:26" s="141" customFormat="1">
      <c r="F1128" s="161"/>
      <c r="G1128" s="161"/>
      <c r="I1128" s="161"/>
      <c r="K1128" s="161"/>
      <c r="Q1128" s="143"/>
      <c r="R1128" s="143"/>
      <c r="S1128" s="143"/>
      <c r="T1128" s="140"/>
      <c r="U1128" s="140"/>
      <c r="V1128" s="140"/>
      <c r="W1128" s="140"/>
      <c r="X1128" s="140"/>
      <c r="Y1128" s="140"/>
      <c r="Z1128" s="140"/>
    </row>
    <row r="1129" spans="6:26" s="141" customFormat="1">
      <c r="F1129" s="161"/>
      <c r="G1129" s="161"/>
      <c r="I1129" s="161"/>
      <c r="K1129" s="161"/>
      <c r="Q1129" s="143"/>
      <c r="R1129" s="143"/>
      <c r="S1129" s="143"/>
      <c r="T1129" s="140"/>
      <c r="U1129" s="140"/>
      <c r="V1129" s="140"/>
      <c r="W1129" s="140"/>
      <c r="X1129" s="140"/>
      <c r="Y1129" s="140"/>
      <c r="Z1129" s="140"/>
    </row>
    <row r="1130" spans="6:26" s="141" customFormat="1">
      <c r="F1130" s="161"/>
      <c r="G1130" s="161"/>
      <c r="I1130" s="161"/>
      <c r="K1130" s="161"/>
      <c r="Q1130" s="143"/>
      <c r="R1130" s="143"/>
      <c r="S1130" s="143"/>
      <c r="T1130" s="140"/>
      <c r="U1130" s="140"/>
      <c r="V1130" s="140"/>
      <c r="W1130" s="140"/>
      <c r="X1130" s="140"/>
      <c r="Y1130" s="140"/>
      <c r="Z1130" s="140"/>
    </row>
    <row r="1131" spans="6:26" s="141" customFormat="1">
      <c r="F1131" s="161"/>
      <c r="G1131" s="161"/>
      <c r="I1131" s="161"/>
      <c r="K1131" s="161"/>
      <c r="Q1131" s="143"/>
      <c r="R1131" s="143"/>
      <c r="S1131" s="143"/>
      <c r="T1131" s="140"/>
      <c r="U1131" s="140"/>
      <c r="V1131" s="140"/>
      <c r="W1131" s="140"/>
      <c r="X1131" s="140"/>
      <c r="Y1131" s="140"/>
      <c r="Z1131" s="140"/>
    </row>
    <row r="1132" spans="6:26" s="141" customFormat="1">
      <c r="F1132" s="161"/>
      <c r="G1132" s="161"/>
      <c r="I1132" s="161"/>
      <c r="K1132" s="161"/>
      <c r="Q1132" s="143"/>
      <c r="R1132" s="143"/>
      <c r="S1132" s="143"/>
      <c r="T1132" s="140"/>
      <c r="U1132" s="140"/>
      <c r="V1132" s="140"/>
      <c r="W1132" s="140"/>
      <c r="X1132" s="140"/>
      <c r="Y1132" s="140"/>
      <c r="Z1132" s="140"/>
    </row>
    <row r="1133" spans="6:26" s="141" customFormat="1">
      <c r="F1133" s="161"/>
      <c r="G1133" s="161"/>
      <c r="I1133" s="161"/>
      <c r="K1133" s="161"/>
      <c r="Q1133" s="143"/>
      <c r="R1133" s="143"/>
      <c r="S1133" s="143"/>
      <c r="T1133" s="140"/>
      <c r="U1133" s="140"/>
      <c r="V1133" s="140"/>
      <c r="W1133" s="140"/>
      <c r="X1133" s="140"/>
      <c r="Y1133" s="140"/>
      <c r="Z1133" s="140"/>
    </row>
    <row r="1134" spans="6:26" s="141" customFormat="1">
      <c r="F1134" s="161"/>
      <c r="G1134" s="161"/>
      <c r="I1134" s="161"/>
      <c r="K1134" s="161"/>
      <c r="Q1134" s="143"/>
      <c r="R1134" s="143"/>
      <c r="S1134" s="143"/>
      <c r="T1134" s="140"/>
      <c r="U1134" s="140"/>
      <c r="V1134" s="140"/>
      <c r="W1134" s="140"/>
      <c r="X1134" s="140"/>
      <c r="Y1134" s="140"/>
      <c r="Z1134" s="140"/>
    </row>
    <row r="1135" spans="6:26" s="141" customFormat="1">
      <c r="F1135" s="161"/>
      <c r="G1135" s="161"/>
      <c r="I1135" s="161"/>
      <c r="K1135" s="161"/>
      <c r="Q1135" s="143"/>
      <c r="R1135" s="143"/>
      <c r="S1135" s="143"/>
      <c r="T1135" s="140"/>
      <c r="U1135" s="140"/>
      <c r="V1135" s="140"/>
      <c r="W1135" s="140"/>
      <c r="X1135" s="140"/>
      <c r="Y1135" s="140"/>
      <c r="Z1135" s="140"/>
    </row>
    <row r="1136" spans="6:26" s="141" customFormat="1">
      <c r="F1136" s="161"/>
      <c r="G1136" s="161"/>
      <c r="I1136" s="161"/>
      <c r="K1136" s="161"/>
      <c r="Q1136" s="143"/>
      <c r="R1136" s="143"/>
      <c r="S1136" s="143"/>
      <c r="T1136" s="140"/>
      <c r="U1136" s="140"/>
      <c r="V1136" s="140"/>
      <c r="W1136" s="140"/>
      <c r="X1136" s="140"/>
      <c r="Y1136" s="140"/>
      <c r="Z1136" s="140"/>
    </row>
    <row r="1137" spans="6:26" s="141" customFormat="1">
      <c r="F1137" s="161"/>
      <c r="G1137" s="161"/>
      <c r="I1137" s="161"/>
      <c r="K1137" s="161"/>
      <c r="Q1137" s="143"/>
      <c r="R1137" s="143"/>
      <c r="S1137" s="143"/>
      <c r="T1137" s="140"/>
      <c r="U1137" s="140"/>
      <c r="V1137" s="140"/>
      <c r="W1137" s="140"/>
      <c r="X1137" s="140"/>
      <c r="Y1137" s="140"/>
      <c r="Z1137" s="140"/>
    </row>
    <row r="1138" spans="6:26" s="141" customFormat="1">
      <c r="F1138" s="161"/>
      <c r="G1138" s="161"/>
      <c r="I1138" s="161"/>
      <c r="K1138" s="161"/>
      <c r="Q1138" s="143"/>
      <c r="R1138" s="143"/>
      <c r="S1138" s="143"/>
      <c r="T1138" s="140"/>
      <c r="U1138" s="140"/>
      <c r="V1138" s="140"/>
      <c r="W1138" s="140"/>
      <c r="X1138" s="140"/>
      <c r="Y1138" s="140"/>
      <c r="Z1138" s="140"/>
    </row>
    <row r="1139" spans="6:26" s="141" customFormat="1">
      <c r="F1139" s="161"/>
      <c r="G1139" s="161"/>
      <c r="I1139" s="161"/>
      <c r="K1139" s="161"/>
      <c r="Q1139" s="143"/>
      <c r="R1139" s="143"/>
      <c r="S1139" s="143"/>
      <c r="T1139" s="140"/>
      <c r="U1139" s="140"/>
      <c r="V1139" s="140"/>
      <c r="W1139" s="140"/>
      <c r="X1139" s="140"/>
      <c r="Y1139" s="140"/>
      <c r="Z1139" s="140"/>
    </row>
    <row r="1140" spans="6:26" s="141" customFormat="1">
      <c r="F1140" s="161"/>
      <c r="G1140" s="161"/>
      <c r="I1140" s="161"/>
      <c r="K1140" s="161"/>
      <c r="Q1140" s="143"/>
      <c r="R1140" s="143"/>
      <c r="S1140" s="143"/>
      <c r="T1140" s="140"/>
      <c r="U1140" s="140"/>
      <c r="V1140" s="140"/>
      <c r="W1140" s="140"/>
      <c r="X1140" s="140"/>
      <c r="Y1140" s="140"/>
      <c r="Z1140" s="140"/>
    </row>
    <row r="1141" spans="6:26" s="141" customFormat="1">
      <c r="F1141" s="161"/>
      <c r="G1141" s="161"/>
      <c r="I1141" s="161"/>
      <c r="K1141" s="161"/>
      <c r="Q1141" s="143"/>
      <c r="R1141" s="143"/>
      <c r="S1141" s="143"/>
      <c r="T1141" s="140"/>
      <c r="U1141" s="140"/>
      <c r="V1141" s="140"/>
      <c r="W1141" s="140"/>
      <c r="X1141" s="140"/>
      <c r="Y1141" s="140"/>
      <c r="Z1141" s="140"/>
    </row>
    <row r="1142" spans="6:26" s="141" customFormat="1">
      <c r="F1142" s="161"/>
      <c r="G1142" s="161"/>
      <c r="I1142" s="161"/>
      <c r="K1142" s="161"/>
      <c r="Q1142" s="143"/>
      <c r="R1142" s="143"/>
      <c r="S1142" s="143"/>
      <c r="T1142" s="140"/>
      <c r="U1142" s="140"/>
      <c r="V1142" s="140"/>
      <c r="W1142" s="140"/>
      <c r="X1142" s="140"/>
      <c r="Y1142" s="140"/>
      <c r="Z1142" s="140"/>
    </row>
    <row r="1143" spans="6:26" s="141" customFormat="1">
      <c r="F1143" s="161"/>
      <c r="G1143" s="161"/>
      <c r="I1143" s="161"/>
      <c r="K1143" s="161"/>
      <c r="Q1143" s="143"/>
      <c r="R1143" s="143"/>
      <c r="S1143" s="143"/>
      <c r="T1143" s="140"/>
      <c r="U1143" s="140"/>
      <c r="V1143" s="140"/>
      <c r="W1143" s="140"/>
      <c r="X1143" s="140"/>
      <c r="Y1143" s="140"/>
      <c r="Z1143" s="140"/>
    </row>
    <row r="1144" spans="6:26" s="141" customFormat="1">
      <c r="F1144" s="161"/>
      <c r="G1144" s="161"/>
      <c r="I1144" s="161"/>
      <c r="K1144" s="161"/>
      <c r="Q1144" s="143"/>
      <c r="R1144" s="143"/>
      <c r="S1144" s="143"/>
      <c r="T1144" s="140"/>
      <c r="U1144" s="140"/>
      <c r="V1144" s="140"/>
      <c r="W1144" s="140"/>
      <c r="X1144" s="140"/>
      <c r="Y1144" s="140"/>
      <c r="Z1144" s="140"/>
    </row>
    <row r="1145" spans="6:26" s="141" customFormat="1">
      <c r="F1145" s="161"/>
      <c r="G1145" s="161"/>
      <c r="I1145" s="161"/>
      <c r="K1145" s="161"/>
      <c r="Q1145" s="143"/>
      <c r="R1145" s="143"/>
      <c r="S1145" s="143"/>
      <c r="T1145" s="140"/>
      <c r="U1145" s="140"/>
      <c r="V1145" s="140"/>
      <c r="W1145" s="140"/>
      <c r="X1145" s="140"/>
      <c r="Y1145" s="140"/>
      <c r="Z1145" s="140"/>
    </row>
    <row r="1146" spans="6:26" s="141" customFormat="1">
      <c r="F1146" s="161"/>
      <c r="G1146" s="161"/>
      <c r="I1146" s="161"/>
      <c r="K1146" s="161"/>
      <c r="Q1146" s="143"/>
      <c r="R1146" s="143"/>
      <c r="S1146" s="143"/>
      <c r="T1146" s="140"/>
      <c r="U1146" s="140"/>
      <c r="V1146" s="140"/>
      <c r="W1146" s="140"/>
      <c r="X1146" s="140"/>
      <c r="Y1146" s="140"/>
      <c r="Z1146" s="140"/>
    </row>
    <row r="1147" spans="6:26" s="141" customFormat="1">
      <c r="F1147" s="161"/>
      <c r="G1147" s="161"/>
      <c r="I1147" s="161"/>
      <c r="K1147" s="161"/>
      <c r="Q1147" s="143"/>
      <c r="R1147" s="143"/>
      <c r="S1147" s="143"/>
      <c r="T1147" s="140"/>
      <c r="U1147" s="140"/>
      <c r="V1147" s="140"/>
      <c r="W1147" s="140"/>
      <c r="X1147" s="140"/>
      <c r="Y1147" s="140"/>
      <c r="Z1147" s="140"/>
    </row>
    <row r="1148" spans="6:26" s="141" customFormat="1">
      <c r="F1148" s="161"/>
      <c r="G1148" s="161"/>
      <c r="I1148" s="161"/>
      <c r="K1148" s="161"/>
      <c r="Q1148" s="143"/>
      <c r="R1148" s="143"/>
      <c r="S1148" s="143"/>
      <c r="T1148" s="140"/>
      <c r="U1148" s="140"/>
      <c r="V1148" s="140"/>
      <c r="W1148" s="140"/>
      <c r="X1148" s="140"/>
      <c r="Y1148" s="140"/>
      <c r="Z1148" s="140"/>
    </row>
    <row r="1149" spans="6:26" s="141" customFormat="1">
      <c r="F1149" s="161"/>
      <c r="G1149" s="161"/>
      <c r="I1149" s="161"/>
      <c r="K1149" s="161"/>
      <c r="Q1149" s="143"/>
      <c r="R1149" s="143"/>
      <c r="S1149" s="143"/>
      <c r="T1149" s="140"/>
      <c r="U1149" s="140"/>
      <c r="V1149" s="140"/>
      <c r="W1149" s="140"/>
      <c r="X1149" s="140"/>
      <c r="Y1149" s="140"/>
      <c r="Z1149" s="140"/>
    </row>
    <row r="1150" spans="6:26" s="141" customFormat="1">
      <c r="F1150" s="161"/>
      <c r="G1150" s="161"/>
      <c r="I1150" s="161"/>
      <c r="K1150" s="161"/>
      <c r="Q1150" s="143"/>
      <c r="R1150" s="143"/>
      <c r="S1150" s="143"/>
      <c r="T1150" s="140"/>
      <c r="U1150" s="140"/>
      <c r="V1150" s="140"/>
      <c r="W1150" s="140"/>
      <c r="X1150" s="140"/>
      <c r="Y1150" s="140"/>
      <c r="Z1150" s="140"/>
    </row>
    <row r="1151" spans="6:26" s="141" customFormat="1">
      <c r="F1151" s="161"/>
      <c r="G1151" s="161"/>
      <c r="I1151" s="161"/>
      <c r="K1151" s="161"/>
      <c r="Q1151" s="143"/>
      <c r="R1151" s="143"/>
      <c r="S1151" s="143"/>
      <c r="T1151" s="140"/>
      <c r="U1151" s="140"/>
      <c r="V1151" s="140"/>
      <c r="W1151" s="140"/>
      <c r="X1151" s="140"/>
      <c r="Y1151" s="140"/>
      <c r="Z1151" s="140"/>
    </row>
    <row r="1152" spans="6:26" s="141" customFormat="1">
      <c r="F1152" s="161"/>
      <c r="G1152" s="161"/>
      <c r="I1152" s="161"/>
      <c r="K1152" s="161"/>
      <c r="Q1152" s="143"/>
      <c r="R1152" s="143"/>
      <c r="S1152" s="143"/>
      <c r="T1152" s="140"/>
      <c r="U1152" s="140"/>
      <c r="V1152" s="140"/>
      <c r="W1152" s="140"/>
      <c r="X1152" s="140"/>
      <c r="Y1152" s="140"/>
      <c r="Z1152" s="140"/>
    </row>
    <row r="1153" spans="6:26" s="141" customFormat="1">
      <c r="F1153" s="161"/>
      <c r="G1153" s="161"/>
      <c r="I1153" s="161"/>
      <c r="K1153" s="161"/>
      <c r="Q1153" s="143"/>
      <c r="R1153" s="143"/>
      <c r="S1153" s="143"/>
      <c r="T1153" s="140"/>
      <c r="U1153" s="140"/>
      <c r="V1153" s="140"/>
      <c r="W1153" s="140"/>
      <c r="X1153" s="140"/>
      <c r="Y1153" s="140"/>
      <c r="Z1153" s="140"/>
    </row>
    <row r="1154" spans="6:26" s="141" customFormat="1">
      <c r="F1154" s="161"/>
      <c r="G1154" s="161"/>
      <c r="I1154" s="161"/>
      <c r="K1154" s="161"/>
      <c r="Q1154" s="143"/>
      <c r="R1154" s="143"/>
      <c r="S1154" s="143"/>
      <c r="T1154" s="140"/>
      <c r="U1154" s="140"/>
      <c r="V1154" s="140"/>
      <c r="W1154" s="140"/>
      <c r="X1154" s="140"/>
      <c r="Y1154" s="140"/>
      <c r="Z1154" s="140"/>
    </row>
    <row r="1155" spans="6:26" s="141" customFormat="1">
      <c r="F1155" s="161"/>
      <c r="G1155" s="161"/>
      <c r="I1155" s="161"/>
      <c r="K1155" s="161"/>
      <c r="Q1155" s="143"/>
      <c r="R1155" s="143"/>
      <c r="S1155" s="143"/>
      <c r="T1155" s="140"/>
      <c r="U1155" s="140"/>
      <c r="V1155" s="140"/>
      <c r="W1155" s="140"/>
      <c r="X1155" s="140"/>
      <c r="Y1155" s="140"/>
      <c r="Z1155" s="140"/>
    </row>
    <row r="1156" spans="6:26" s="141" customFormat="1">
      <c r="F1156" s="161"/>
      <c r="G1156" s="161"/>
      <c r="I1156" s="161"/>
      <c r="K1156" s="161"/>
      <c r="Q1156" s="143"/>
      <c r="R1156" s="143"/>
      <c r="S1156" s="143"/>
      <c r="T1156" s="140"/>
      <c r="U1156" s="140"/>
      <c r="V1156" s="140"/>
      <c r="W1156" s="140"/>
      <c r="X1156" s="140"/>
      <c r="Y1156" s="140"/>
      <c r="Z1156" s="140"/>
    </row>
    <row r="1157" spans="6:26" s="141" customFormat="1">
      <c r="F1157" s="161"/>
      <c r="G1157" s="161"/>
      <c r="I1157" s="161"/>
      <c r="K1157" s="161"/>
      <c r="Q1157" s="143"/>
      <c r="R1157" s="143"/>
      <c r="S1157" s="143"/>
      <c r="T1157" s="140"/>
      <c r="U1157" s="140"/>
      <c r="V1157" s="140"/>
      <c r="W1157" s="140"/>
      <c r="X1157" s="140"/>
      <c r="Y1157" s="140"/>
      <c r="Z1157" s="140"/>
    </row>
    <row r="1158" spans="6:26" s="141" customFormat="1">
      <c r="F1158" s="161"/>
      <c r="G1158" s="161"/>
      <c r="I1158" s="161"/>
      <c r="K1158" s="161"/>
      <c r="Q1158" s="143"/>
      <c r="R1158" s="143"/>
      <c r="S1158" s="143"/>
      <c r="T1158" s="140"/>
      <c r="U1158" s="140"/>
      <c r="V1158" s="140"/>
      <c r="W1158" s="140"/>
      <c r="X1158" s="140"/>
      <c r="Y1158" s="140"/>
      <c r="Z1158" s="140"/>
    </row>
    <row r="1159" spans="6:26" s="141" customFormat="1">
      <c r="F1159" s="161"/>
      <c r="G1159" s="161"/>
      <c r="I1159" s="161"/>
      <c r="K1159" s="161"/>
      <c r="Q1159" s="143"/>
      <c r="R1159" s="143"/>
      <c r="S1159" s="143"/>
      <c r="T1159" s="140"/>
      <c r="U1159" s="140"/>
      <c r="V1159" s="140"/>
      <c r="W1159" s="140"/>
      <c r="X1159" s="140"/>
      <c r="Y1159" s="140"/>
      <c r="Z1159" s="140"/>
    </row>
    <row r="1160" spans="6:26" s="141" customFormat="1">
      <c r="F1160" s="161"/>
      <c r="G1160" s="161"/>
      <c r="I1160" s="161"/>
      <c r="K1160" s="161"/>
      <c r="Q1160" s="143"/>
      <c r="R1160" s="143"/>
      <c r="S1160" s="143"/>
      <c r="T1160" s="140"/>
      <c r="U1160" s="140"/>
      <c r="V1160" s="140"/>
      <c r="W1160" s="140"/>
      <c r="X1160" s="140"/>
      <c r="Y1160" s="140"/>
      <c r="Z1160" s="140"/>
    </row>
    <row r="1161" spans="6:26" s="141" customFormat="1">
      <c r="F1161" s="161"/>
      <c r="G1161" s="161"/>
      <c r="I1161" s="161"/>
      <c r="K1161" s="161"/>
      <c r="Q1161" s="143"/>
      <c r="R1161" s="143"/>
      <c r="S1161" s="143"/>
      <c r="T1161" s="140"/>
      <c r="U1161" s="140"/>
      <c r="V1161" s="140"/>
      <c r="W1161" s="140"/>
      <c r="X1161" s="140"/>
      <c r="Y1161" s="140"/>
      <c r="Z1161" s="140"/>
    </row>
    <row r="1162" spans="6:26" s="141" customFormat="1">
      <c r="F1162" s="161"/>
      <c r="G1162" s="161"/>
      <c r="I1162" s="161"/>
      <c r="K1162" s="161"/>
      <c r="Q1162" s="143"/>
      <c r="R1162" s="143"/>
      <c r="S1162" s="143"/>
      <c r="T1162" s="140"/>
      <c r="U1162" s="140"/>
      <c r="V1162" s="140"/>
      <c r="W1162" s="140"/>
      <c r="X1162" s="140"/>
      <c r="Y1162" s="140"/>
      <c r="Z1162" s="140"/>
    </row>
    <row r="1163" spans="6:26" s="141" customFormat="1">
      <c r="F1163" s="161"/>
      <c r="G1163" s="161"/>
      <c r="I1163" s="161"/>
      <c r="K1163" s="161"/>
      <c r="Q1163" s="143"/>
      <c r="R1163" s="143"/>
      <c r="S1163" s="143"/>
      <c r="T1163" s="140"/>
      <c r="U1163" s="140"/>
      <c r="V1163" s="140"/>
      <c r="W1163" s="140"/>
      <c r="X1163" s="140"/>
      <c r="Y1163" s="140"/>
      <c r="Z1163" s="140"/>
    </row>
    <row r="1164" spans="6:26" s="141" customFormat="1">
      <c r="F1164" s="161"/>
      <c r="G1164" s="161"/>
      <c r="I1164" s="161"/>
      <c r="K1164" s="161"/>
      <c r="Q1164" s="143"/>
      <c r="R1164" s="143"/>
      <c r="S1164" s="143"/>
      <c r="T1164" s="140"/>
      <c r="U1164" s="140"/>
      <c r="V1164" s="140"/>
      <c r="W1164" s="140"/>
      <c r="X1164" s="140"/>
      <c r="Y1164" s="140"/>
      <c r="Z1164" s="140"/>
    </row>
    <row r="1165" spans="6:26" s="141" customFormat="1">
      <c r="F1165" s="161"/>
      <c r="G1165" s="161"/>
      <c r="I1165" s="161"/>
      <c r="K1165" s="161"/>
      <c r="Q1165" s="143"/>
      <c r="R1165" s="143"/>
      <c r="S1165" s="143"/>
      <c r="T1165" s="140"/>
      <c r="U1165" s="140"/>
      <c r="V1165" s="140"/>
      <c r="W1165" s="140"/>
      <c r="X1165" s="140"/>
      <c r="Y1165" s="140"/>
      <c r="Z1165" s="140"/>
    </row>
    <row r="1166" spans="6:26" s="141" customFormat="1">
      <c r="F1166" s="161"/>
      <c r="G1166" s="161"/>
      <c r="I1166" s="161"/>
      <c r="K1166" s="161"/>
      <c r="Q1166" s="143"/>
      <c r="R1166" s="143"/>
      <c r="S1166" s="143"/>
      <c r="T1166" s="140"/>
      <c r="U1166" s="140"/>
      <c r="V1166" s="140"/>
      <c r="W1166" s="140"/>
      <c r="X1166" s="140"/>
      <c r="Y1166" s="140"/>
      <c r="Z1166" s="140"/>
    </row>
    <row r="1167" spans="6:26" s="141" customFormat="1">
      <c r="F1167" s="161"/>
      <c r="G1167" s="161"/>
      <c r="I1167" s="161"/>
      <c r="K1167" s="161"/>
      <c r="Q1167" s="143"/>
      <c r="R1167" s="143"/>
      <c r="S1167" s="143"/>
      <c r="T1167" s="140"/>
      <c r="U1167" s="140"/>
      <c r="V1167" s="140"/>
      <c r="W1167" s="140"/>
      <c r="X1167" s="140"/>
      <c r="Y1167" s="140"/>
      <c r="Z1167" s="140"/>
    </row>
    <row r="1168" spans="6:26" s="141" customFormat="1">
      <c r="F1168" s="161"/>
      <c r="G1168" s="161"/>
      <c r="I1168" s="161"/>
      <c r="K1168" s="161"/>
      <c r="Q1168" s="143"/>
      <c r="R1168" s="143"/>
      <c r="S1168" s="143"/>
      <c r="T1168" s="140"/>
      <c r="U1168" s="140"/>
      <c r="V1168" s="140"/>
      <c r="W1168" s="140"/>
      <c r="X1168" s="140"/>
      <c r="Y1168" s="140"/>
      <c r="Z1168" s="140"/>
    </row>
    <row r="1169" spans="6:26" s="141" customFormat="1">
      <c r="F1169" s="161"/>
      <c r="G1169" s="161"/>
      <c r="I1169" s="161"/>
      <c r="K1169" s="161"/>
      <c r="Q1169" s="143"/>
      <c r="R1169" s="143"/>
      <c r="S1169" s="143"/>
      <c r="T1169" s="140"/>
      <c r="U1169" s="140"/>
      <c r="V1169" s="140"/>
      <c r="W1169" s="140"/>
      <c r="X1169" s="140"/>
      <c r="Y1169" s="140"/>
      <c r="Z1169" s="140"/>
    </row>
    <row r="1170" spans="6:26" s="141" customFormat="1">
      <c r="F1170" s="161"/>
      <c r="G1170" s="161"/>
      <c r="I1170" s="161"/>
      <c r="K1170" s="161"/>
      <c r="Q1170" s="143"/>
      <c r="R1170" s="143"/>
      <c r="S1170" s="143"/>
      <c r="T1170" s="140"/>
      <c r="U1170" s="140"/>
      <c r="V1170" s="140"/>
      <c r="W1170" s="140"/>
      <c r="X1170" s="140"/>
      <c r="Y1170" s="140"/>
      <c r="Z1170" s="140"/>
    </row>
    <row r="1171" spans="6:26" s="141" customFormat="1">
      <c r="F1171" s="161"/>
      <c r="G1171" s="161"/>
      <c r="I1171" s="161"/>
      <c r="K1171" s="161"/>
      <c r="Q1171" s="143"/>
      <c r="R1171" s="143"/>
      <c r="S1171" s="143"/>
      <c r="T1171" s="140"/>
      <c r="U1171" s="140"/>
      <c r="V1171" s="140"/>
      <c r="W1171" s="140"/>
      <c r="X1171" s="140"/>
      <c r="Y1171" s="140"/>
      <c r="Z1171" s="140"/>
    </row>
    <row r="1172" spans="6:26" s="141" customFormat="1">
      <c r="F1172" s="161"/>
      <c r="G1172" s="161"/>
      <c r="I1172" s="161"/>
      <c r="K1172" s="161"/>
      <c r="Q1172" s="143"/>
      <c r="R1172" s="143"/>
      <c r="S1172" s="143"/>
      <c r="T1172" s="140"/>
      <c r="U1172" s="140"/>
      <c r="V1172" s="140"/>
      <c r="W1172" s="140"/>
      <c r="X1172" s="140"/>
      <c r="Y1172" s="140"/>
      <c r="Z1172" s="140"/>
    </row>
    <row r="1173" spans="6:26" s="141" customFormat="1">
      <c r="F1173" s="161"/>
      <c r="G1173" s="161"/>
      <c r="I1173" s="161"/>
      <c r="K1173" s="161"/>
      <c r="Q1173" s="143"/>
      <c r="R1173" s="143"/>
      <c r="S1173" s="143"/>
      <c r="T1173" s="140"/>
      <c r="U1173" s="140"/>
      <c r="V1173" s="140"/>
      <c r="W1173" s="140"/>
      <c r="X1173" s="140"/>
      <c r="Y1173" s="140"/>
      <c r="Z1173" s="140"/>
    </row>
    <row r="1174" spans="6:26" s="141" customFormat="1">
      <c r="F1174" s="161"/>
      <c r="G1174" s="161"/>
      <c r="I1174" s="161"/>
      <c r="K1174" s="161"/>
      <c r="Q1174" s="143"/>
      <c r="R1174" s="143"/>
      <c r="S1174" s="143"/>
      <c r="T1174" s="140"/>
      <c r="U1174" s="140"/>
      <c r="V1174" s="140"/>
      <c r="W1174" s="140"/>
      <c r="X1174" s="140"/>
      <c r="Y1174" s="140"/>
      <c r="Z1174" s="140"/>
    </row>
    <row r="1175" spans="6:26" s="141" customFormat="1">
      <c r="F1175" s="161"/>
      <c r="G1175" s="161"/>
      <c r="I1175" s="161"/>
      <c r="K1175" s="161"/>
      <c r="Q1175" s="143"/>
      <c r="R1175" s="143"/>
      <c r="S1175" s="143"/>
      <c r="T1175" s="140"/>
      <c r="U1175" s="140"/>
      <c r="V1175" s="140"/>
      <c r="W1175" s="140"/>
      <c r="X1175" s="140"/>
      <c r="Y1175" s="140"/>
      <c r="Z1175" s="140"/>
    </row>
    <row r="1176" spans="6:26" s="141" customFormat="1">
      <c r="F1176" s="161"/>
      <c r="G1176" s="161"/>
      <c r="I1176" s="161"/>
      <c r="K1176" s="161"/>
      <c r="Q1176" s="143"/>
      <c r="R1176" s="143"/>
      <c r="S1176" s="143"/>
      <c r="T1176" s="140"/>
      <c r="U1176" s="140"/>
      <c r="V1176" s="140"/>
      <c r="W1176" s="140"/>
      <c r="X1176" s="140"/>
      <c r="Y1176" s="140"/>
      <c r="Z1176" s="140"/>
    </row>
    <row r="1177" spans="6:26" s="141" customFormat="1">
      <c r="F1177" s="161"/>
      <c r="G1177" s="161"/>
      <c r="I1177" s="161"/>
      <c r="K1177" s="161"/>
      <c r="Q1177" s="143"/>
      <c r="R1177" s="143"/>
      <c r="S1177" s="143"/>
      <c r="T1177" s="140"/>
      <c r="U1177" s="140"/>
      <c r="V1177" s="140"/>
      <c r="W1177" s="140"/>
      <c r="X1177" s="140"/>
      <c r="Y1177" s="140"/>
      <c r="Z1177" s="140"/>
    </row>
    <row r="1178" spans="6:26" s="141" customFormat="1">
      <c r="F1178" s="161"/>
      <c r="G1178" s="161"/>
      <c r="I1178" s="161"/>
      <c r="K1178" s="161"/>
      <c r="Q1178" s="143"/>
      <c r="R1178" s="143"/>
      <c r="S1178" s="143"/>
      <c r="T1178" s="140"/>
      <c r="U1178" s="140"/>
      <c r="V1178" s="140"/>
      <c r="W1178" s="140"/>
      <c r="X1178" s="140"/>
      <c r="Y1178" s="140"/>
      <c r="Z1178" s="140"/>
    </row>
    <row r="1179" spans="6:26" s="141" customFormat="1">
      <c r="F1179" s="161"/>
      <c r="G1179" s="161"/>
      <c r="I1179" s="161"/>
      <c r="K1179" s="161"/>
      <c r="Q1179" s="143"/>
      <c r="R1179" s="143"/>
      <c r="S1179" s="143"/>
      <c r="T1179" s="140"/>
      <c r="U1179" s="140"/>
      <c r="V1179" s="140"/>
      <c r="W1179" s="140"/>
      <c r="X1179" s="140"/>
      <c r="Y1179" s="140"/>
      <c r="Z1179" s="140"/>
    </row>
    <row r="1180" spans="6:26" s="141" customFormat="1">
      <c r="F1180" s="161"/>
      <c r="G1180" s="161"/>
      <c r="I1180" s="161"/>
      <c r="K1180" s="161"/>
      <c r="Q1180" s="143"/>
      <c r="R1180" s="143"/>
      <c r="S1180" s="143"/>
      <c r="T1180" s="140"/>
      <c r="U1180" s="140"/>
      <c r="V1180" s="140"/>
      <c r="W1180" s="140"/>
      <c r="X1180" s="140"/>
      <c r="Y1180" s="140"/>
      <c r="Z1180" s="140"/>
    </row>
    <row r="1181" spans="6:26" s="141" customFormat="1">
      <c r="F1181" s="161"/>
      <c r="G1181" s="161"/>
      <c r="I1181" s="161"/>
      <c r="K1181" s="161"/>
      <c r="Q1181" s="143"/>
      <c r="R1181" s="143"/>
      <c r="S1181" s="143"/>
      <c r="T1181" s="140"/>
      <c r="U1181" s="140"/>
      <c r="V1181" s="140"/>
      <c r="W1181" s="140"/>
      <c r="X1181" s="140"/>
      <c r="Y1181" s="140"/>
      <c r="Z1181" s="140"/>
    </row>
    <row r="1182" spans="6:26" s="141" customFormat="1">
      <c r="F1182" s="161"/>
      <c r="G1182" s="161"/>
      <c r="I1182" s="161"/>
      <c r="K1182" s="161"/>
      <c r="Q1182" s="143"/>
      <c r="R1182" s="143"/>
      <c r="S1182" s="143"/>
      <c r="T1182" s="140"/>
      <c r="U1182" s="140"/>
      <c r="V1182" s="140"/>
      <c r="W1182" s="140"/>
      <c r="X1182" s="140"/>
      <c r="Y1182" s="140"/>
      <c r="Z1182" s="140"/>
    </row>
    <row r="1183" spans="6:26" s="141" customFormat="1">
      <c r="F1183" s="161"/>
      <c r="G1183" s="161"/>
      <c r="I1183" s="161"/>
      <c r="K1183" s="161"/>
      <c r="Q1183" s="143"/>
      <c r="R1183" s="143"/>
      <c r="S1183" s="143"/>
      <c r="T1183" s="140"/>
      <c r="U1183" s="140"/>
      <c r="V1183" s="140"/>
      <c r="W1183" s="140"/>
      <c r="X1183" s="140"/>
      <c r="Y1183" s="140"/>
      <c r="Z1183" s="140"/>
    </row>
    <row r="1184" spans="6:26" s="141" customFormat="1">
      <c r="F1184" s="161"/>
      <c r="G1184" s="161"/>
      <c r="I1184" s="161"/>
      <c r="K1184" s="161"/>
      <c r="Q1184" s="143"/>
      <c r="R1184" s="143"/>
      <c r="S1184" s="143"/>
      <c r="T1184" s="140"/>
      <c r="U1184" s="140"/>
      <c r="V1184" s="140"/>
      <c r="W1184" s="140"/>
      <c r="X1184" s="140"/>
      <c r="Y1184" s="140"/>
      <c r="Z1184" s="140"/>
    </row>
    <row r="1185" spans="6:26" s="141" customFormat="1">
      <c r="F1185" s="161"/>
      <c r="G1185" s="161"/>
      <c r="I1185" s="161"/>
      <c r="K1185" s="161"/>
      <c r="Q1185" s="143"/>
      <c r="R1185" s="143"/>
      <c r="S1185" s="143"/>
      <c r="T1185" s="140"/>
      <c r="U1185" s="140"/>
      <c r="V1185" s="140"/>
      <c r="W1185" s="140"/>
      <c r="X1185" s="140"/>
      <c r="Y1185" s="140"/>
      <c r="Z1185" s="140"/>
    </row>
    <row r="1186" spans="6:26" s="141" customFormat="1">
      <c r="F1186" s="161"/>
      <c r="G1186" s="161"/>
      <c r="I1186" s="161"/>
      <c r="K1186" s="161"/>
      <c r="Q1186" s="143"/>
      <c r="R1186" s="143"/>
      <c r="S1186" s="143"/>
      <c r="T1186" s="140"/>
      <c r="U1186" s="140"/>
      <c r="V1186" s="140"/>
      <c r="W1186" s="140"/>
      <c r="X1186" s="140"/>
      <c r="Y1186" s="140"/>
      <c r="Z1186" s="140"/>
    </row>
    <row r="1187" spans="6:26" s="141" customFormat="1">
      <c r="F1187" s="161"/>
      <c r="G1187" s="161"/>
      <c r="I1187" s="161"/>
      <c r="K1187" s="161"/>
      <c r="Q1187" s="143"/>
      <c r="R1187" s="143"/>
      <c r="S1187" s="143"/>
      <c r="T1187" s="140"/>
      <c r="U1187" s="140"/>
      <c r="V1187" s="140"/>
      <c r="W1187" s="140"/>
      <c r="X1187" s="140"/>
      <c r="Y1187" s="140"/>
      <c r="Z1187" s="140"/>
    </row>
    <row r="1188" spans="6:26" s="141" customFormat="1">
      <c r="F1188" s="161"/>
      <c r="G1188" s="161"/>
      <c r="I1188" s="161"/>
      <c r="K1188" s="161"/>
      <c r="Q1188" s="143"/>
      <c r="R1188" s="143"/>
      <c r="S1188" s="143"/>
      <c r="T1188" s="140"/>
      <c r="U1188" s="140"/>
      <c r="V1188" s="140"/>
      <c r="W1188" s="140"/>
      <c r="X1188" s="140"/>
      <c r="Y1188" s="140"/>
      <c r="Z1188" s="140"/>
    </row>
    <row r="1189" spans="6:26" s="141" customFormat="1">
      <c r="F1189" s="161"/>
      <c r="G1189" s="161"/>
      <c r="I1189" s="161"/>
      <c r="K1189" s="161"/>
      <c r="Q1189" s="143"/>
      <c r="R1189" s="143"/>
      <c r="S1189" s="143"/>
      <c r="T1189" s="140"/>
      <c r="U1189" s="140"/>
      <c r="V1189" s="140"/>
      <c r="W1189" s="140"/>
      <c r="X1189" s="140"/>
      <c r="Y1189" s="140"/>
      <c r="Z1189" s="140"/>
    </row>
    <row r="1190" spans="6:26" s="141" customFormat="1">
      <c r="F1190" s="161"/>
      <c r="G1190" s="161"/>
      <c r="I1190" s="161"/>
      <c r="K1190" s="161"/>
      <c r="Q1190" s="143"/>
      <c r="R1190" s="143"/>
      <c r="S1190" s="143"/>
      <c r="T1190" s="140"/>
      <c r="U1190" s="140"/>
      <c r="V1190" s="140"/>
      <c r="W1190" s="140"/>
      <c r="X1190" s="140"/>
      <c r="Y1190" s="140"/>
      <c r="Z1190" s="140"/>
    </row>
    <row r="1191" spans="6:26" s="141" customFormat="1">
      <c r="F1191" s="161"/>
      <c r="G1191" s="161"/>
      <c r="I1191" s="161"/>
      <c r="K1191" s="161"/>
      <c r="Q1191" s="143"/>
      <c r="R1191" s="143"/>
      <c r="S1191" s="143"/>
      <c r="T1191" s="140"/>
      <c r="U1191" s="140"/>
      <c r="V1191" s="140"/>
      <c r="W1191" s="140"/>
      <c r="X1191" s="140"/>
      <c r="Y1191" s="140"/>
      <c r="Z1191" s="140"/>
    </row>
    <row r="1192" spans="6:26" s="141" customFormat="1">
      <c r="F1192" s="161"/>
      <c r="G1192" s="161"/>
      <c r="I1192" s="161"/>
      <c r="K1192" s="161"/>
      <c r="Q1192" s="143"/>
      <c r="R1192" s="143"/>
      <c r="S1192" s="143"/>
      <c r="T1192" s="140"/>
      <c r="U1192" s="140"/>
      <c r="V1192" s="140"/>
      <c r="W1192" s="140"/>
      <c r="X1192" s="140"/>
      <c r="Y1192" s="140"/>
      <c r="Z1192" s="140"/>
    </row>
    <row r="1193" spans="6:26" s="141" customFormat="1">
      <c r="F1193" s="161"/>
      <c r="G1193" s="161"/>
      <c r="I1193" s="161"/>
      <c r="K1193" s="161"/>
      <c r="Q1193" s="143"/>
      <c r="R1193" s="143"/>
      <c r="S1193" s="143"/>
      <c r="T1193" s="140"/>
      <c r="U1193" s="140"/>
      <c r="V1193" s="140"/>
      <c r="W1193" s="140"/>
      <c r="X1193" s="140"/>
      <c r="Y1193" s="140"/>
      <c r="Z1193" s="140"/>
    </row>
    <row r="1194" spans="6:26" s="141" customFormat="1">
      <c r="F1194" s="161"/>
      <c r="G1194" s="161"/>
      <c r="I1194" s="161"/>
      <c r="K1194" s="161"/>
      <c r="Q1194" s="143"/>
      <c r="R1194" s="143"/>
      <c r="S1194" s="143"/>
      <c r="T1194" s="140"/>
      <c r="U1194" s="140"/>
      <c r="V1194" s="140"/>
      <c r="W1194" s="140"/>
      <c r="X1194" s="140"/>
      <c r="Y1194" s="140"/>
      <c r="Z1194" s="140"/>
    </row>
    <row r="1195" spans="6:26" s="141" customFormat="1">
      <c r="F1195" s="161"/>
      <c r="G1195" s="161"/>
      <c r="I1195" s="161"/>
      <c r="K1195" s="161"/>
      <c r="Q1195" s="143"/>
      <c r="R1195" s="143"/>
      <c r="S1195" s="143"/>
      <c r="T1195" s="140"/>
      <c r="U1195" s="140"/>
      <c r="V1195" s="140"/>
      <c r="W1195" s="140"/>
      <c r="X1195" s="140"/>
      <c r="Y1195" s="140"/>
      <c r="Z1195" s="140"/>
    </row>
    <row r="1196" spans="6:26" s="141" customFormat="1">
      <c r="F1196" s="161"/>
      <c r="G1196" s="161"/>
      <c r="I1196" s="161"/>
      <c r="K1196" s="161"/>
      <c r="Q1196" s="143"/>
      <c r="R1196" s="143"/>
      <c r="S1196" s="143"/>
      <c r="T1196" s="140"/>
      <c r="U1196" s="140"/>
      <c r="V1196" s="140"/>
      <c r="W1196" s="140"/>
      <c r="X1196" s="140"/>
      <c r="Y1196" s="140"/>
      <c r="Z1196" s="140"/>
    </row>
    <row r="1197" spans="6:26" s="141" customFormat="1">
      <c r="F1197" s="161"/>
      <c r="G1197" s="161"/>
      <c r="I1197" s="161"/>
      <c r="K1197" s="161"/>
      <c r="Q1197" s="143"/>
      <c r="R1197" s="143"/>
      <c r="S1197" s="143"/>
      <c r="T1197" s="140"/>
      <c r="U1197" s="140"/>
      <c r="V1197" s="140"/>
      <c r="W1197" s="140"/>
      <c r="X1197" s="140"/>
      <c r="Y1197" s="140"/>
      <c r="Z1197" s="140"/>
    </row>
    <row r="1198" spans="6:26" s="141" customFormat="1">
      <c r="F1198" s="161"/>
      <c r="G1198" s="161"/>
      <c r="I1198" s="161"/>
      <c r="K1198" s="161"/>
      <c r="Q1198" s="143"/>
      <c r="R1198" s="143"/>
      <c r="S1198" s="143"/>
      <c r="T1198" s="140"/>
      <c r="U1198" s="140"/>
      <c r="V1198" s="140"/>
      <c r="W1198" s="140"/>
      <c r="X1198" s="140"/>
      <c r="Y1198" s="140"/>
      <c r="Z1198" s="140"/>
    </row>
    <row r="1199" spans="6:26" s="141" customFormat="1">
      <c r="F1199" s="161"/>
      <c r="G1199" s="161"/>
      <c r="I1199" s="161"/>
      <c r="K1199" s="161"/>
      <c r="Q1199" s="143"/>
      <c r="R1199" s="143"/>
      <c r="S1199" s="143"/>
      <c r="T1199" s="140"/>
      <c r="U1199" s="140"/>
      <c r="V1199" s="140"/>
      <c r="W1199" s="140"/>
      <c r="X1199" s="140"/>
      <c r="Y1199" s="140"/>
      <c r="Z1199" s="140"/>
    </row>
    <row r="1200" spans="6:26" s="141" customFormat="1">
      <c r="F1200" s="161"/>
      <c r="G1200" s="161"/>
      <c r="I1200" s="161"/>
      <c r="K1200" s="161"/>
      <c r="Q1200" s="143"/>
      <c r="R1200" s="143"/>
      <c r="S1200" s="143"/>
      <c r="T1200" s="140"/>
      <c r="U1200" s="140"/>
      <c r="V1200" s="140"/>
      <c r="W1200" s="140"/>
      <c r="X1200" s="140"/>
      <c r="Y1200" s="140"/>
      <c r="Z1200" s="140"/>
    </row>
    <row r="1201" spans="6:26" s="141" customFormat="1">
      <c r="F1201" s="161"/>
      <c r="G1201" s="161"/>
      <c r="I1201" s="161"/>
      <c r="K1201" s="161"/>
      <c r="Q1201" s="143"/>
      <c r="R1201" s="143"/>
      <c r="S1201" s="143"/>
      <c r="T1201" s="140"/>
      <c r="U1201" s="140"/>
      <c r="V1201" s="140"/>
      <c r="W1201" s="140"/>
      <c r="X1201" s="140"/>
      <c r="Y1201" s="140"/>
      <c r="Z1201" s="140"/>
    </row>
    <row r="1202" spans="6:26" s="141" customFormat="1">
      <c r="F1202" s="161"/>
      <c r="G1202" s="161"/>
      <c r="I1202" s="161"/>
      <c r="K1202" s="161"/>
      <c r="Q1202" s="143"/>
      <c r="R1202" s="143"/>
      <c r="S1202" s="143"/>
      <c r="T1202" s="140"/>
      <c r="U1202" s="140"/>
      <c r="V1202" s="140"/>
      <c r="W1202" s="140"/>
      <c r="X1202" s="140"/>
      <c r="Y1202" s="140"/>
      <c r="Z1202" s="140"/>
    </row>
    <row r="1203" spans="6:26" s="141" customFormat="1">
      <c r="F1203" s="161"/>
      <c r="G1203" s="161"/>
      <c r="I1203" s="161"/>
      <c r="K1203" s="161"/>
      <c r="Q1203" s="143"/>
      <c r="R1203" s="143"/>
      <c r="S1203" s="143"/>
      <c r="T1203" s="140"/>
      <c r="U1203" s="140"/>
      <c r="V1203" s="140"/>
      <c r="W1203" s="140"/>
      <c r="X1203" s="140"/>
      <c r="Y1203" s="140"/>
      <c r="Z1203" s="140"/>
    </row>
    <row r="1204" spans="6:26" s="141" customFormat="1">
      <c r="F1204" s="161"/>
      <c r="G1204" s="161"/>
      <c r="I1204" s="161"/>
      <c r="K1204" s="161"/>
      <c r="Q1204" s="143"/>
      <c r="R1204" s="143"/>
      <c r="S1204" s="143"/>
      <c r="T1204" s="140"/>
      <c r="U1204" s="140"/>
      <c r="V1204" s="140"/>
      <c r="W1204" s="140"/>
      <c r="X1204" s="140"/>
      <c r="Y1204" s="140"/>
      <c r="Z1204" s="140"/>
    </row>
    <row r="1205" spans="6:26" s="141" customFormat="1">
      <c r="F1205" s="161"/>
      <c r="G1205" s="161"/>
      <c r="I1205" s="161"/>
      <c r="K1205" s="161"/>
      <c r="Q1205" s="143"/>
      <c r="R1205" s="143"/>
      <c r="S1205" s="143"/>
      <c r="T1205" s="140"/>
      <c r="U1205" s="140"/>
      <c r="V1205" s="140"/>
      <c r="W1205" s="140"/>
      <c r="X1205" s="140"/>
      <c r="Y1205" s="140"/>
      <c r="Z1205" s="140"/>
    </row>
    <row r="1206" spans="6:26" s="141" customFormat="1">
      <c r="F1206" s="161"/>
      <c r="G1206" s="161"/>
      <c r="I1206" s="161"/>
      <c r="K1206" s="161"/>
      <c r="Q1206" s="143"/>
      <c r="R1206" s="143"/>
      <c r="S1206" s="143"/>
      <c r="T1206" s="140"/>
      <c r="U1206" s="140"/>
      <c r="V1206" s="140"/>
      <c r="W1206" s="140"/>
      <c r="X1206" s="140"/>
      <c r="Y1206" s="140"/>
      <c r="Z1206" s="140"/>
    </row>
    <row r="1207" spans="6:26" s="141" customFormat="1">
      <c r="F1207" s="161"/>
      <c r="G1207" s="161"/>
      <c r="I1207" s="161"/>
      <c r="K1207" s="161"/>
      <c r="Q1207" s="143"/>
      <c r="R1207" s="143"/>
      <c r="S1207" s="143"/>
      <c r="T1207" s="140"/>
      <c r="U1207" s="140"/>
      <c r="V1207" s="140"/>
      <c r="W1207" s="140"/>
      <c r="X1207" s="140"/>
      <c r="Y1207" s="140"/>
      <c r="Z1207" s="140"/>
    </row>
    <row r="1208" spans="6:26" s="141" customFormat="1">
      <c r="F1208" s="161"/>
      <c r="G1208" s="161"/>
      <c r="I1208" s="161"/>
      <c r="K1208" s="161"/>
      <c r="Q1208" s="143"/>
      <c r="R1208" s="143"/>
      <c r="S1208" s="143"/>
      <c r="T1208" s="140"/>
      <c r="U1208" s="140"/>
      <c r="V1208" s="140"/>
      <c r="W1208" s="140"/>
      <c r="X1208" s="140"/>
      <c r="Y1208" s="140"/>
      <c r="Z1208" s="140"/>
    </row>
    <row r="1209" spans="6:26" s="141" customFormat="1">
      <c r="F1209" s="161"/>
      <c r="G1209" s="161"/>
      <c r="I1209" s="161"/>
      <c r="K1209" s="161"/>
      <c r="Q1209" s="143"/>
      <c r="R1209" s="143"/>
      <c r="S1209" s="143"/>
      <c r="T1209" s="140"/>
      <c r="U1209" s="140"/>
      <c r="V1209" s="140"/>
      <c r="W1209" s="140"/>
      <c r="X1209" s="140"/>
      <c r="Y1209" s="140"/>
      <c r="Z1209" s="140"/>
    </row>
    <row r="1210" spans="6:26" s="141" customFormat="1">
      <c r="F1210" s="161"/>
      <c r="G1210" s="161"/>
      <c r="I1210" s="161"/>
      <c r="K1210" s="161"/>
      <c r="Q1210" s="143"/>
      <c r="R1210" s="143"/>
      <c r="S1210" s="143"/>
      <c r="T1210" s="140"/>
      <c r="U1210" s="140"/>
      <c r="V1210" s="140"/>
      <c r="W1210" s="140"/>
      <c r="X1210" s="140"/>
      <c r="Y1210" s="140"/>
      <c r="Z1210" s="140"/>
    </row>
    <row r="1211" spans="6:26" s="141" customFormat="1">
      <c r="F1211" s="161"/>
      <c r="G1211" s="161"/>
      <c r="I1211" s="161"/>
      <c r="K1211" s="161"/>
      <c r="Q1211" s="143"/>
      <c r="R1211" s="143"/>
      <c r="S1211" s="143"/>
      <c r="T1211" s="140"/>
      <c r="U1211" s="140"/>
      <c r="V1211" s="140"/>
      <c r="W1211" s="140"/>
      <c r="X1211" s="140"/>
      <c r="Y1211" s="140"/>
      <c r="Z1211" s="140"/>
    </row>
    <row r="1212" spans="6:26" s="141" customFormat="1">
      <c r="F1212" s="161"/>
      <c r="G1212" s="161"/>
      <c r="I1212" s="161"/>
      <c r="K1212" s="161"/>
      <c r="Q1212" s="143"/>
      <c r="R1212" s="143"/>
      <c r="S1212" s="143"/>
      <c r="T1212" s="140"/>
      <c r="U1212" s="140"/>
      <c r="V1212" s="140"/>
      <c r="W1212" s="140"/>
      <c r="X1212" s="140"/>
      <c r="Y1212" s="140"/>
      <c r="Z1212" s="140"/>
    </row>
    <row r="1213" spans="6:26" s="141" customFormat="1">
      <c r="F1213" s="161"/>
      <c r="G1213" s="161"/>
      <c r="I1213" s="161"/>
      <c r="K1213" s="161"/>
      <c r="Q1213" s="143"/>
      <c r="R1213" s="143"/>
      <c r="S1213" s="143"/>
      <c r="T1213" s="140"/>
      <c r="U1213" s="140"/>
      <c r="V1213" s="140"/>
      <c r="W1213" s="140"/>
      <c r="X1213" s="140"/>
      <c r="Y1213" s="140"/>
      <c r="Z1213" s="140"/>
    </row>
    <row r="1214" spans="6:26" s="141" customFormat="1">
      <c r="F1214" s="161"/>
      <c r="G1214" s="161"/>
      <c r="I1214" s="161"/>
      <c r="K1214" s="161"/>
      <c r="Q1214" s="143"/>
      <c r="R1214" s="143"/>
      <c r="S1214" s="143"/>
      <c r="T1214" s="140"/>
      <c r="U1214" s="140"/>
      <c r="V1214" s="140"/>
      <c r="W1214" s="140"/>
      <c r="X1214" s="140"/>
      <c r="Y1214" s="140"/>
      <c r="Z1214" s="140"/>
    </row>
    <row r="1215" spans="6:26" s="141" customFormat="1">
      <c r="F1215" s="161"/>
      <c r="G1215" s="161"/>
      <c r="I1215" s="161"/>
      <c r="K1215" s="161"/>
      <c r="Q1215" s="143"/>
      <c r="R1215" s="143"/>
      <c r="S1215" s="143"/>
      <c r="T1215" s="140"/>
      <c r="U1215" s="140"/>
      <c r="V1215" s="140"/>
      <c r="W1215" s="140"/>
      <c r="X1215" s="140"/>
      <c r="Y1215" s="140"/>
      <c r="Z1215" s="140"/>
    </row>
    <row r="1216" spans="6:26" s="141" customFormat="1">
      <c r="F1216" s="161"/>
      <c r="G1216" s="161"/>
      <c r="I1216" s="161"/>
      <c r="K1216" s="161"/>
      <c r="Q1216" s="143"/>
      <c r="R1216" s="143"/>
      <c r="S1216" s="143"/>
      <c r="T1216" s="140"/>
      <c r="U1216" s="140"/>
      <c r="V1216" s="140"/>
      <c r="W1216" s="140"/>
      <c r="X1216" s="140"/>
      <c r="Y1216" s="140"/>
      <c r="Z1216" s="140"/>
    </row>
    <row r="1217" spans="6:26" s="141" customFormat="1">
      <c r="F1217" s="161"/>
      <c r="G1217" s="161"/>
      <c r="I1217" s="161"/>
      <c r="K1217" s="161"/>
      <c r="Q1217" s="143"/>
      <c r="R1217" s="143"/>
      <c r="S1217" s="143"/>
      <c r="T1217" s="140"/>
      <c r="U1217" s="140"/>
      <c r="V1217" s="140"/>
      <c r="W1217" s="140"/>
      <c r="X1217" s="140"/>
      <c r="Y1217" s="140"/>
      <c r="Z1217" s="140"/>
    </row>
    <row r="1218" spans="6:26" s="141" customFormat="1">
      <c r="F1218" s="161"/>
      <c r="G1218" s="161"/>
      <c r="I1218" s="161"/>
      <c r="K1218" s="161"/>
      <c r="Q1218" s="143"/>
      <c r="R1218" s="143"/>
      <c r="S1218" s="143"/>
      <c r="T1218" s="140"/>
      <c r="U1218" s="140"/>
      <c r="V1218" s="140"/>
      <c r="W1218" s="140"/>
      <c r="X1218" s="140"/>
      <c r="Y1218" s="140"/>
      <c r="Z1218" s="140"/>
    </row>
    <row r="1219" spans="6:26" s="141" customFormat="1">
      <c r="F1219" s="161"/>
      <c r="G1219" s="161"/>
      <c r="I1219" s="161"/>
      <c r="K1219" s="161"/>
      <c r="Q1219" s="143"/>
      <c r="R1219" s="143"/>
      <c r="S1219" s="143"/>
      <c r="T1219" s="140"/>
      <c r="U1219" s="140"/>
      <c r="V1219" s="140"/>
      <c r="W1219" s="140"/>
      <c r="X1219" s="140"/>
      <c r="Y1219" s="140"/>
      <c r="Z1219" s="140"/>
    </row>
    <row r="1220" spans="6:26" s="141" customFormat="1">
      <c r="F1220" s="161"/>
      <c r="G1220" s="161"/>
      <c r="I1220" s="161"/>
      <c r="K1220" s="161"/>
      <c r="Q1220" s="143"/>
      <c r="R1220" s="143"/>
      <c r="S1220" s="143"/>
      <c r="T1220" s="140"/>
      <c r="U1220" s="140"/>
      <c r="V1220" s="140"/>
      <c r="W1220" s="140"/>
      <c r="X1220" s="140"/>
      <c r="Y1220" s="140"/>
      <c r="Z1220" s="140"/>
    </row>
    <row r="1221" spans="6:26" s="141" customFormat="1">
      <c r="F1221" s="161"/>
      <c r="G1221" s="161"/>
      <c r="I1221" s="161"/>
      <c r="K1221" s="161"/>
      <c r="Q1221" s="143"/>
      <c r="R1221" s="143"/>
      <c r="S1221" s="143"/>
      <c r="T1221" s="140"/>
      <c r="U1221" s="140"/>
      <c r="V1221" s="140"/>
      <c r="W1221" s="140"/>
      <c r="X1221" s="140"/>
      <c r="Y1221" s="140"/>
      <c r="Z1221" s="140"/>
    </row>
    <row r="1222" spans="6:26" s="141" customFormat="1">
      <c r="F1222" s="161"/>
      <c r="G1222" s="161"/>
      <c r="I1222" s="161"/>
      <c r="K1222" s="161"/>
      <c r="Q1222" s="143"/>
      <c r="R1222" s="143"/>
      <c r="S1222" s="143"/>
      <c r="T1222" s="140"/>
      <c r="U1222" s="140"/>
      <c r="V1222" s="140"/>
      <c r="W1222" s="140"/>
      <c r="X1222" s="140"/>
      <c r="Y1222" s="140"/>
      <c r="Z1222" s="140"/>
    </row>
    <row r="1223" spans="6:26" s="141" customFormat="1">
      <c r="F1223" s="161"/>
      <c r="G1223" s="161"/>
      <c r="I1223" s="161"/>
      <c r="K1223" s="161"/>
      <c r="Q1223" s="143"/>
      <c r="R1223" s="143"/>
      <c r="S1223" s="143"/>
      <c r="T1223" s="140"/>
      <c r="U1223" s="140"/>
      <c r="V1223" s="140"/>
      <c r="W1223" s="140"/>
      <c r="X1223" s="140"/>
      <c r="Y1223" s="140"/>
      <c r="Z1223" s="140"/>
    </row>
    <row r="1224" spans="6:26" s="141" customFormat="1">
      <c r="F1224" s="161"/>
      <c r="G1224" s="161"/>
      <c r="I1224" s="161"/>
      <c r="K1224" s="161"/>
      <c r="Q1224" s="143"/>
      <c r="R1224" s="143"/>
      <c r="S1224" s="143"/>
      <c r="T1224" s="140"/>
      <c r="U1224" s="140"/>
      <c r="V1224" s="140"/>
      <c r="W1224" s="140"/>
      <c r="X1224" s="140"/>
      <c r="Y1224" s="140"/>
      <c r="Z1224" s="140"/>
    </row>
    <row r="1225" spans="6:26" s="141" customFormat="1">
      <c r="F1225" s="161"/>
      <c r="G1225" s="161"/>
      <c r="I1225" s="161"/>
      <c r="K1225" s="161"/>
      <c r="Q1225" s="143"/>
      <c r="R1225" s="143"/>
      <c r="S1225" s="143"/>
      <c r="T1225" s="140"/>
      <c r="U1225" s="140"/>
      <c r="V1225" s="140"/>
      <c r="W1225" s="140"/>
      <c r="X1225" s="140"/>
      <c r="Y1225" s="140"/>
      <c r="Z1225" s="140"/>
    </row>
    <row r="1226" spans="6:26" s="141" customFormat="1">
      <c r="F1226" s="161"/>
      <c r="G1226" s="161"/>
      <c r="I1226" s="161"/>
      <c r="K1226" s="161"/>
      <c r="Q1226" s="143"/>
      <c r="R1226" s="143"/>
      <c r="S1226" s="143"/>
      <c r="T1226" s="140"/>
      <c r="U1226" s="140"/>
      <c r="V1226" s="140"/>
      <c r="W1226" s="140"/>
      <c r="X1226" s="140"/>
      <c r="Y1226" s="140"/>
      <c r="Z1226" s="140"/>
    </row>
    <row r="1227" spans="6:26" s="141" customFormat="1">
      <c r="F1227" s="161"/>
      <c r="G1227" s="161"/>
      <c r="I1227" s="161"/>
      <c r="K1227" s="161"/>
      <c r="Q1227" s="143"/>
      <c r="R1227" s="143"/>
      <c r="S1227" s="143"/>
      <c r="T1227" s="140"/>
      <c r="U1227" s="140"/>
      <c r="V1227" s="140"/>
      <c r="W1227" s="140"/>
      <c r="X1227" s="140"/>
      <c r="Y1227" s="140"/>
      <c r="Z1227" s="140"/>
    </row>
    <row r="1228" spans="6:26" s="141" customFormat="1">
      <c r="F1228" s="161"/>
      <c r="G1228" s="161"/>
      <c r="I1228" s="161"/>
      <c r="K1228" s="161"/>
      <c r="Q1228" s="143"/>
      <c r="R1228" s="143"/>
      <c r="S1228" s="143"/>
      <c r="T1228" s="140"/>
      <c r="U1228" s="140"/>
      <c r="V1228" s="140"/>
      <c r="W1228" s="140"/>
      <c r="X1228" s="140"/>
      <c r="Y1228" s="140"/>
      <c r="Z1228" s="140"/>
    </row>
    <row r="1229" spans="6:26" s="141" customFormat="1">
      <c r="F1229" s="161"/>
      <c r="G1229" s="161"/>
      <c r="I1229" s="161"/>
      <c r="K1229" s="161"/>
      <c r="Q1229" s="143"/>
      <c r="R1229" s="143"/>
      <c r="S1229" s="143"/>
      <c r="T1229" s="140"/>
      <c r="U1229" s="140"/>
      <c r="V1229" s="140"/>
      <c r="W1229" s="140"/>
      <c r="X1229" s="140"/>
      <c r="Y1229" s="140"/>
      <c r="Z1229" s="140"/>
    </row>
    <row r="1230" spans="6:26" s="141" customFormat="1">
      <c r="F1230" s="161"/>
      <c r="G1230" s="161"/>
      <c r="I1230" s="161"/>
      <c r="K1230" s="161"/>
      <c r="Q1230" s="143"/>
      <c r="R1230" s="143"/>
      <c r="S1230" s="143"/>
      <c r="T1230" s="140"/>
      <c r="U1230" s="140"/>
      <c r="V1230" s="140"/>
      <c r="W1230" s="140"/>
      <c r="X1230" s="140"/>
      <c r="Y1230" s="140"/>
      <c r="Z1230" s="140"/>
    </row>
    <row r="1231" spans="6:26" s="141" customFormat="1">
      <c r="F1231" s="161"/>
      <c r="G1231" s="161"/>
      <c r="I1231" s="161"/>
      <c r="K1231" s="161"/>
      <c r="Q1231" s="143"/>
      <c r="R1231" s="143"/>
      <c r="S1231" s="143"/>
      <c r="T1231" s="140"/>
      <c r="U1231" s="140"/>
      <c r="V1231" s="140"/>
      <c r="W1231" s="140"/>
      <c r="X1231" s="140"/>
      <c r="Y1231" s="140"/>
      <c r="Z1231" s="140"/>
    </row>
    <row r="1232" spans="6:26" s="141" customFormat="1">
      <c r="F1232" s="161"/>
      <c r="G1232" s="161"/>
      <c r="I1232" s="161"/>
      <c r="K1232" s="161"/>
      <c r="Q1232" s="143"/>
      <c r="R1232" s="143"/>
      <c r="S1232" s="143"/>
      <c r="T1232" s="140"/>
      <c r="U1232" s="140"/>
      <c r="V1232" s="140"/>
      <c r="W1232" s="140"/>
      <c r="X1232" s="140"/>
      <c r="Y1232" s="140"/>
      <c r="Z1232" s="140"/>
    </row>
    <row r="1233" spans="6:26" s="141" customFormat="1">
      <c r="F1233" s="161"/>
      <c r="G1233" s="161"/>
      <c r="I1233" s="161"/>
      <c r="K1233" s="161"/>
      <c r="Q1233" s="143"/>
      <c r="R1233" s="143"/>
      <c r="S1233" s="143"/>
      <c r="T1233" s="140"/>
      <c r="U1233" s="140"/>
      <c r="V1233" s="140"/>
      <c r="W1233" s="140"/>
      <c r="X1233" s="140"/>
      <c r="Y1233" s="140"/>
      <c r="Z1233" s="140"/>
    </row>
    <row r="1234" spans="6:26" s="141" customFormat="1">
      <c r="F1234" s="161"/>
      <c r="G1234" s="161"/>
      <c r="I1234" s="161"/>
      <c r="K1234" s="161"/>
      <c r="Q1234" s="143"/>
      <c r="R1234" s="143"/>
      <c r="S1234" s="143"/>
      <c r="T1234" s="140"/>
      <c r="U1234" s="140"/>
      <c r="V1234" s="140"/>
      <c r="W1234" s="140"/>
      <c r="X1234" s="140"/>
      <c r="Y1234" s="140"/>
      <c r="Z1234" s="140"/>
    </row>
    <row r="1235" spans="6:26" s="141" customFormat="1">
      <c r="F1235" s="161"/>
      <c r="G1235" s="161"/>
      <c r="I1235" s="161"/>
      <c r="K1235" s="161"/>
      <c r="Q1235" s="143"/>
      <c r="R1235" s="143"/>
      <c r="S1235" s="143"/>
      <c r="T1235" s="140"/>
      <c r="U1235" s="140"/>
      <c r="V1235" s="140"/>
      <c r="W1235" s="140"/>
      <c r="X1235" s="140"/>
      <c r="Y1235" s="140"/>
      <c r="Z1235" s="140"/>
    </row>
    <row r="1236" spans="6:26" s="141" customFormat="1">
      <c r="F1236" s="161"/>
      <c r="G1236" s="161"/>
      <c r="I1236" s="161"/>
      <c r="K1236" s="161"/>
      <c r="Q1236" s="143"/>
      <c r="R1236" s="143"/>
      <c r="S1236" s="143"/>
      <c r="T1236" s="140"/>
      <c r="U1236" s="140"/>
      <c r="V1236" s="140"/>
      <c r="W1236" s="140"/>
      <c r="X1236" s="140"/>
      <c r="Y1236" s="140"/>
      <c r="Z1236" s="140"/>
    </row>
    <row r="1237" spans="6:26" s="141" customFormat="1">
      <c r="F1237" s="161"/>
      <c r="G1237" s="161"/>
      <c r="I1237" s="161"/>
      <c r="K1237" s="161"/>
      <c r="Q1237" s="143"/>
      <c r="R1237" s="143"/>
      <c r="S1237" s="143"/>
      <c r="T1237" s="140"/>
      <c r="U1237" s="140"/>
      <c r="V1237" s="140"/>
      <c r="W1237" s="140"/>
      <c r="X1237" s="140"/>
      <c r="Y1237" s="140"/>
      <c r="Z1237" s="140"/>
    </row>
    <row r="1238" spans="6:26" s="141" customFormat="1">
      <c r="F1238" s="161"/>
      <c r="G1238" s="161"/>
      <c r="I1238" s="161"/>
      <c r="K1238" s="161"/>
      <c r="Q1238" s="143"/>
      <c r="R1238" s="143"/>
      <c r="S1238" s="143"/>
      <c r="T1238" s="140"/>
      <c r="U1238" s="140"/>
      <c r="V1238" s="140"/>
      <c r="W1238" s="140"/>
      <c r="X1238" s="140"/>
      <c r="Y1238" s="140"/>
      <c r="Z1238" s="140"/>
    </row>
    <row r="1239" spans="6:26" s="141" customFormat="1">
      <c r="F1239" s="161"/>
      <c r="G1239" s="161"/>
      <c r="I1239" s="161"/>
      <c r="K1239" s="161"/>
      <c r="Q1239" s="143"/>
      <c r="R1239" s="143"/>
      <c r="S1239" s="143"/>
      <c r="T1239" s="140"/>
      <c r="U1239" s="140"/>
      <c r="V1239" s="140"/>
      <c r="W1239" s="140"/>
      <c r="X1239" s="140"/>
      <c r="Y1239" s="140"/>
      <c r="Z1239" s="140"/>
    </row>
    <row r="1240" spans="6:26" s="141" customFormat="1">
      <c r="F1240" s="161"/>
      <c r="G1240" s="161"/>
      <c r="I1240" s="161"/>
      <c r="K1240" s="161"/>
      <c r="Q1240" s="143"/>
      <c r="R1240" s="143"/>
      <c r="S1240" s="143"/>
      <c r="T1240" s="140"/>
      <c r="U1240" s="140"/>
      <c r="V1240" s="140"/>
      <c r="W1240" s="140"/>
      <c r="X1240" s="140"/>
      <c r="Y1240" s="140"/>
      <c r="Z1240" s="140"/>
    </row>
    <row r="1241" spans="6:26" s="141" customFormat="1">
      <c r="F1241" s="161"/>
      <c r="G1241" s="161"/>
      <c r="I1241" s="161"/>
      <c r="K1241" s="161"/>
      <c r="Q1241" s="143"/>
      <c r="R1241" s="143"/>
      <c r="S1241" s="143"/>
      <c r="T1241" s="140"/>
      <c r="U1241" s="140"/>
      <c r="V1241" s="140"/>
      <c r="W1241" s="140"/>
      <c r="X1241" s="140"/>
      <c r="Y1241" s="140"/>
      <c r="Z1241" s="140"/>
    </row>
    <row r="1242" spans="6:26" s="141" customFormat="1">
      <c r="F1242" s="161"/>
      <c r="G1242" s="161"/>
      <c r="I1242" s="161"/>
      <c r="K1242" s="161"/>
      <c r="Q1242" s="143"/>
      <c r="R1242" s="143"/>
      <c r="S1242" s="143"/>
      <c r="T1242" s="140"/>
      <c r="U1242" s="140"/>
      <c r="V1242" s="140"/>
      <c r="W1242" s="140"/>
      <c r="X1242" s="140"/>
      <c r="Y1242" s="140"/>
      <c r="Z1242" s="140"/>
    </row>
    <row r="1243" spans="6:26" s="141" customFormat="1">
      <c r="F1243" s="161"/>
      <c r="G1243" s="161"/>
      <c r="I1243" s="161"/>
      <c r="K1243" s="161"/>
      <c r="Q1243" s="143"/>
      <c r="R1243" s="143"/>
      <c r="S1243" s="143"/>
      <c r="T1243" s="140"/>
      <c r="U1243" s="140"/>
      <c r="V1243" s="140"/>
      <c r="W1243" s="140"/>
      <c r="X1243" s="140"/>
      <c r="Y1243" s="140"/>
      <c r="Z1243" s="140"/>
    </row>
    <row r="1244" spans="6:26" s="141" customFormat="1">
      <c r="F1244" s="161"/>
      <c r="G1244" s="161"/>
      <c r="I1244" s="161"/>
      <c r="K1244" s="161"/>
      <c r="Q1244" s="143"/>
      <c r="R1244" s="143"/>
      <c r="S1244" s="143"/>
      <c r="T1244" s="140"/>
      <c r="U1244" s="140"/>
      <c r="V1244" s="140"/>
      <c r="W1244" s="140"/>
      <c r="X1244" s="140"/>
      <c r="Y1244" s="140"/>
      <c r="Z1244" s="140"/>
    </row>
    <row r="1245" spans="6:26" s="141" customFormat="1">
      <c r="F1245" s="161"/>
      <c r="G1245" s="161"/>
      <c r="I1245" s="161"/>
      <c r="K1245" s="161"/>
      <c r="Q1245" s="143"/>
      <c r="R1245" s="143"/>
      <c r="S1245" s="143"/>
      <c r="T1245" s="140"/>
      <c r="U1245" s="140"/>
      <c r="V1245" s="140"/>
      <c r="W1245" s="140"/>
      <c r="X1245" s="140"/>
      <c r="Y1245" s="140"/>
      <c r="Z1245" s="140"/>
    </row>
    <row r="1246" spans="6:26" s="141" customFormat="1">
      <c r="F1246" s="161"/>
      <c r="G1246" s="161"/>
      <c r="I1246" s="161"/>
      <c r="K1246" s="161"/>
      <c r="Q1246" s="143"/>
      <c r="R1246" s="143"/>
      <c r="S1246" s="143"/>
      <c r="T1246" s="140"/>
      <c r="U1246" s="140"/>
      <c r="V1246" s="140"/>
      <c r="W1246" s="140"/>
      <c r="X1246" s="140"/>
      <c r="Y1246" s="140"/>
      <c r="Z1246" s="140"/>
    </row>
    <row r="1247" spans="6:26" s="141" customFormat="1">
      <c r="F1247" s="161"/>
      <c r="G1247" s="161"/>
      <c r="I1247" s="161"/>
      <c r="K1247" s="161"/>
      <c r="Q1247" s="143"/>
      <c r="R1247" s="143"/>
      <c r="S1247" s="143"/>
      <c r="T1247" s="140"/>
      <c r="U1247" s="140"/>
      <c r="V1247" s="140"/>
      <c r="W1247" s="140"/>
      <c r="X1247" s="140"/>
      <c r="Y1247" s="140"/>
      <c r="Z1247" s="140"/>
    </row>
    <row r="1248" spans="6:26" s="141" customFormat="1">
      <c r="F1248" s="161"/>
      <c r="G1248" s="161"/>
      <c r="I1248" s="161"/>
      <c r="K1248" s="161"/>
      <c r="Q1248" s="143"/>
      <c r="R1248" s="143"/>
      <c r="S1248" s="143"/>
      <c r="T1248" s="140"/>
      <c r="U1248" s="140"/>
      <c r="V1248" s="140"/>
      <c r="W1248" s="140"/>
      <c r="X1248" s="140"/>
      <c r="Y1248" s="140"/>
      <c r="Z1248" s="140"/>
    </row>
    <row r="1249" spans="1:26" s="141" customFormat="1">
      <c r="A1249" s="138"/>
      <c r="B1249" s="138"/>
      <c r="C1249" s="138"/>
      <c r="D1249" s="138"/>
      <c r="E1249" s="138"/>
      <c r="F1249" s="148"/>
      <c r="G1249" s="148"/>
      <c r="H1249" s="138"/>
      <c r="I1249" s="148"/>
      <c r="J1249" s="138"/>
      <c r="K1249" s="148"/>
      <c r="L1249" s="138"/>
      <c r="M1249" s="138"/>
      <c r="N1249" s="138"/>
      <c r="O1249" s="138"/>
      <c r="Q1249" s="143"/>
      <c r="R1249" s="143"/>
      <c r="S1249" s="143"/>
      <c r="T1249" s="140"/>
      <c r="U1249" s="140"/>
      <c r="V1249" s="140"/>
      <c r="W1249" s="140"/>
      <c r="X1249" s="140"/>
      <c r="Y1249" s="140"/>
      <c r="Z1249" s="140"/>
    </row>
    <row r="1250" spans="1:26" s="141" customFormat="1">
      <c r="A1250" s="138"/>
      <c r="B1250" s="138"/>
      <c r="C1250" s="138"/>
      <c r="D1250" s="138"/>
      <c r="E1250" s="138"/>
      <c r="F1250" s="148"/>
      <c r="G1250" s="148"/>
      <c r="H1250" s="138"/>
      <c r="I1250" s="148"/>
      <c r="J1250" s="138"/>
      <c r="K1250" s="148"/>
      <c r="L1250" s="138"/>
      <c r="M1250" s="138"/>
      <c r="N1250" s="138"/>
      <c r="O1250" s="138"/>
      <c r="Q1250" s="143"/>
      <c r="R1250" s="143"/>
      <c r="S1250" s="143"/>
      <c r="T1250" s="140"/>
      <c r="U1250" s="140"/>
      <c r="V1250" s="140"/>
      <c r="W1250" s="140"/>
      <c r="X1250" s="140"/>
      <c r="Y1250" s="140"/>
      <c r="Z1250" s="140"/>
    </row>
    <row r="1251" spans="1:26" s="141" customFormat="1">
      <c r="A1251" s="138"/>
      <c r="B1251" s="138"/>
      <c r="C1251" s="138"/>
      <c r="D1251" s="138"/>
      <c r="E1251" s="138"/>
      <c r="F1251" s="148"/>
      <c r="G1251" s="148"/>
      <c r="H1251" s="138"/>
      <c r="I1251" s="148"/>
      <c r="J1251" s="138"/>
      <c r="K1251" s="148"/>
      <c r="L1251" s="138"/>
      <c r="M1251" s="138"/>
      <c r="N1251" s="138"/>
      <c r="O1251" s="138"/>
      <c r="Q1251" s="143"/>
      <c r="R1251" s="143"/>
      <c r="S1251" s="143"/>
      <c r="T1251" s="140"/>
      <c r="U1251" s="140"/>
      <c r="V1251" s="140"/>
      <c r="W1251" s="140"/>
      <c r="X1251" s="140"/>
      <c r="Y1251" s="140"/>
      <c r="Z1251" s="140"/>
    </row>
    <row r="1252" spans="1:26" s="141" customFormat="1">
      <c r="A1252" s="138"/>
      <c r="B1252" s="138"/>
      <c r="C1252" s="138"/>
      <c r="D1252" s="138"/>
      <c r="E1252" s="138"/>
      <c r="F1252" s="148"/>
      <c r="G1252" s="148"/>
      <c r="H1252" s="138"/>
      <c r="I1252" s="148"/>
      <c r="J1252" s="138"/>
      <c r="K1252" s="148"/>
      <c r="L1252" s="138"/>
      <c r="M1252" s="138"/>
      <c r="N1252" s="138"/>
      <c r="O1252" s="138"/>
      <c r="Q1252" s="143"/>
      <c r="R1252" s="143"/>
      <c r="S1252" s="143"/>
      <c r="T1252" s="140"/>
      <c r="U1252" s="140"/>
      <c r="V1252" s="140"/>
      <c r="W1252" s="140"/>
      <c r="X1252" s="140"/>
      <c r="Y1252" s="140"/>
      <c r="Z1252" s="140"/>
    </row>
    <row r="1253" spans="1:26" s="141" customFormat="1">
      <c r="A1253" s="138"/>
      <c r="B1253" s="138"/>
      <c r="C1253" s="138"/>
      <c r="D1253" s="138"/>
      <c r="E1253" s="138"/>
      <c r="F1253" s="148"/>
      <c r="G1253" s="148"/>
      <c r="H1253" s="138"/>
      <c r="I1253" s="148"/>
      <c r="J1253" s="138"/>
      <c r="K1253" s="148"/>
      <c r="L1253" s="138"/>
      <c r="M1253" s="138"/>
      <c r="N1253" s="138"/>
      <c r="O1253" s="138"/>
      <c r="Q1253" s="143"/>
      <c r="R1253" s="143"/>
      <c r="S1253" s="143"/>
      <c r="T1253" s="140"/>
      <c r="U1253" s="140"/>
      <c r="V1253" s="140"/>
      <c r="W1253" s="140"/>
      <c r="X1253" s="140"/>
      <c r="Y1253" s="140"/>
      <c r="Z1253" s="140"/>
    </row>
    <row r="1254" spans="1:26" s="141" customFormat="1">
      <c r="A1254" s="138"/>
      <c r="B1254" s="138"/>
      <c r="C1254" s="138"/>
      <c r="D1254" s="138"/>
      <c r="E1254" s="138"/>
      <c r="F1254" s="148"/>
      <c r="G1254" s="148"/>
      <c r="H1254" s="138"/>
      <c r="I1254" s="148"/>
      <c r="J1254" s="138"/>
      <c r="K1254" s="148"/>
      <c r="L1254" s="138"/>
      <c r="M1254" s="138"/>
      <c r="N1254" s="138"/>
      <c r="O1254" s="138"/>
      <c r="Q1254" s="143"/>
      <c r="R1254" s="143"/>
      <c r="S1254" s="143"/>
      <c r="T1254" s="140"/>
      <c r="U1254" s="140"/>
      <c r="V1254" s="140"/>
      <c r="W1254" s="140"/>
      <c r="X1254" s="140"/>
      <c r="Y1254" s="140"/>
      <c r="Z1254" s="140"/>
    </row>
    <row r="1255" spans="1:26" s="141" customFormat="1">
      <c r="A1255" s="138"/>
      <c r="B1255" s="138"/>
      <c r="C1255" s="138"/>
      <c r="D1255" s="138"/>
      <c r="E1255" s="138"/>
      <c r="F1255" s="148"/>
      <c r="G1255" s="148"/>
      <c r="H1255" s="138"/>
      <c r="I1255" s="148"/>
      <c r="J1255" s="138"/>
      <c r="K1255" s="148"/>
      <c r="L1255" s="138"/>
      <c r="M1255" s="138"/>
      <c r="N1255" s="138"/>
      <c r="O1255" s="138"/>
      <c r="Q1255" s="143"/>
      <c r="R1255" s="143"/>
      <c r="S1255" s="143"/>
      <c r="T1255" s="140"/>
      <c r="U1255" s="140"/>
      <c r="V1255" s="140"/>
      <c r="W1255" s="140"/>
      <c r="X1255" s="140"/>
      <c r="Y1255" s="140"/>
      <c r="Z1255" s="140"/>
    </row>
    <row r="1256" spans="1:26" s="141" customFormat="1">
      <c r="A1256" s="138"/>
      <c r="B1256" s="138"/>
      <c r="C1256" s="138"/>
      <c r="D1256" s="138"/>
      <c r="E1256" s="138"/>
      <c r="F1256" s="148"/>
      <c r="G1256" s="148"/>
      <c r="H1256" s="138"/>
      <c r="I1256" s="148"/>
      <c r="J1256" s="138"/>
      <c r="K1256" s="148"/>
      <c r="L1256" s="138"/>
      <c r="M1256" s="138"/>
      <c r="N1256" s="138"/>
      <c r="O1256" s="138"/>
      <c r="Q1256" s="143"/>
      <c r="R1256" s="143"/>
      <c r="S1256" s="143"/>
      <c r="T1256" s="140"/>
      <c r="U1256" s="140"/>
      <c r="V1256" s="140"/>
      <c r="W1256" s="140"/>
      <c r="X1256" s="140"/>
      <c r="Y1256" s="140"/>
      <c r="Z1256" s="140"/>
    </row>
    <row r="1257" spans="1:26" s="141" customFormat="1">
      <c r="A1257" s="138"/>
      <c r="B1257" s="138"/>
      <c r="C1257" s="138"/>
      <c r="D1257" s="138"/>
      <c r="E1257" s="138"/>
      <c r="F1257" s="148"/>
      <c r="G1257" s="148"/>
      <c r="H1257" s="138"/>
      <c r="I1257" s="148"/>
      <c r="J1257" s="138"/>
      <c r="K1257" s="148"/>
      <c r="L1257" s="138"/>
      <c r="M1257" s="138"/>
      <c r="N1257" s="138"/>
      <c r="O1257" s="138"/>
      <c r="Q1257" s="143"/>
      <c r="R1257" s="143"/>
      <c r="S1257" s="143"/>
      <c r="T1257" s="140"/>
      <c r="U1257" s="140"/>
      <c r="V1257" s="140"/>
      <c r="W1257" s="140"/>
      <c r="X1257" s="140"/>
      <c r="Y1257" s="140"/>
      <c r="Z1257" s="140"/>
    </row>
    <row r="1258" spans="1:26" s="141" customFormat="1">
      <c r="A1258" s="138"/>
      <c r="B1258" s="138"/>
      <c r="C1258" s="138"/>
      <c r="D1258" s="138"/>
      <c r="E1258" s="138"/>
      <c r="F1258" s="148"/>
      <c r="G1258" s="148"/>
      <c r="H1258" s="138"/>
      <c r="I1258" s="148"/>
      <c r="J1258" s="138"/>
      <c r="K1258" s="148"/>
      <c r="L1258" s="138"/>
      <c r="M1258" s="138"/>
      <c r="N1258" s="138"/>
      <c r="O1258" s="138"/>
      <c r="Q1258" s="143"/>
      <c r="R1258" s="143"/>
      <c r="S1258" s="143"/>
      <c r="T1258" s="140"/>
      <c r="U1258" s="140"/>
      <c r="V1258" s="140"/>
      <c r="W1258" s="140"/>
      <c r="X1258" s="140"/>
      <c r="Y1258" s="140"/>
      <c r="Z1258" s="140"/>
    </row>
    <row r="1259" spans="1:26" s="141" customFormat="1">
      <c r="A1259" s="138"/>
      <c r="B1259" s="138"/>
      <c r="C1259" s="138"/>
      <c r="D1259" s="138"/>
      <c r="E1259" s="138"/>
      <c r="F1259" s="148"/>
      <c r="G1259" s="148"/>
      <c r="H1259" s="138"/>
      <c r="I1259" s="148"/>
      <c r="J1259" s="138"/>
      <c r="K1259" s="148"/>
      <c r="L1259" s="138"/>
      <c r="M1259" s="138"/>
      <c r="N1259" s="138"/>
      <c r="O1259" s="138"/>
      <c r="Q1259" s="143"/>
      <c r="R1259" s="143"/>
      <c r="S1259" s="143"/>
      <c r="T1259" s="140"/>
      <c r="U1259" s="140"/>
      <c r="V1259" s="140"/>
      <c r="W1259" s="140"/>
      <c r="X1259" s="140"/>
      <c r="Y1259" s="140"/>
      <c r="Z1259" s="140"/>
    </row>
    <row r="1260" spans="1:26" s="141" customFormat="1">
      <c r="A1260" s="138"/>
      <c r="B1260" s="138"/>
      <c r="C1260" s="138"/>
      <c r="D1260" s="138"/>
      <c r="E1260" s="138"/>
      <c r="F1260" s="148"/>
      <c r="G1260" s="148"/>
      <c r="H1260" s="138"/>
      <c r="I1260" s="148"/>
      <c r="J1260" s="138"/>
      <c r="K1260" s="148"/>
      <c r="L1260" s="138"/>
      <c r="M1260" s="138"/>
      <c r="N1260" s="138"/>
      <c r="O1260" s="138"/>
      <c r="Q1260" s="143"/>
      <c r="R1260" s="143"/>
      <c r="S1260" s="143"/>
      <c r="T1260" s="140"/>
      <c r="U1260" s="140"/>
      <c r="V1260" s="140"/>
      <c r="W1260" s="140"/>
      <c r="X1260" s="140"/>
      <c r="Y1260" s="140"/>
      <c r="Z1260" s="140"/>
    </row>
    <row r="1261" spans="1:26" s="141" customFormat="1">
      <c r="A1261" s="138"/>
      <c r="B1261" s="138"/>
      <c r="C1261" s="138"/>
      <c r="D1261" s="138"/>
      <c r="E1261" s="138"/>
      <c r="F1261" s="148"/>
      <c r="G1261" s="148"/>
      <c r="H1261" s="138"/>
      <c r="I1261" s="148"/>
      <c r="J1261" s="138"/>
      <c r="K1261" s="148"/>
      <c r="L1261" s="138"/>
      <c r="M1261" s="138"/>
      <c r="N1261" s="138"/>
      <c r="O1261" s="138"/>
      <c r="Q1261" s="143"/>
      <c r="R1261" s="143"/>
      <c r="S1261" s="143"/>
      <c r="T1261" s="140"/>
      <c r="U1261" s="140"/>
      <c r="V1261" s="140"/>
      <c r="W1261" s="140"/>
      <c r="X1261" s="140"/>
      <c r="Y1261" s="140"/>
      <c r="Z1261" s="140"/>
    </row>
    <row r="1262" spans="1:26" s="141" customFormat="1">
      <c r="A1262" s="138"/>
      <c r="B1262" s="138"/>
      <c r="C1262" s="138"/>
      <c r="D1262" s="138"/>
      <c r="E1262" s="138"/>
      <c r="F1262" s="148"/>
      <c r="G1262" s="148"/>
      <c r="H1262" s="138"/>
      <c r="I1262" s="148"/>
      <c r="J1262" s="138"/>
      <c r="K1262" s="148"/>
      <c r="L1262" s="138"/>
      <c r="M1262" s="138"/>
      <c r="N1262" s="138"/>
      <c r="O1262" s="138"/>
      <c r="Q1262" s="143"/>
      <c r="R1262" s="143"/>
      <c r="S1262" s="143"/>
      <c r="T1262" s="140"/>
      <c r="U1262" s="140"/>
      <c r="V1262" s="140"/>
      <c r="W1262" s="140"/>
      <c r="X1262" s="140"/>
      <c r="Y1262" s="140"/>
      <c r="Z1262" s="140"/>
    </row>
    <row r="1263" spans="1:26" s="141" customFormat="1">
      <c r="A1263" s="138"/>
      <c r="B1263" s="138"/>
      <c r="C1263" s="138"/>
      <c r="D1263" s="138"/>
      <c r="E1263" s="138"/>
      <c r="F1263" s="148"/>
      <c r="G1263" s="148"/>
      <c r="H1263" s="138"/>
      <c r="I1263" s="148"/>
      <c r="J1263" s="138"/>
      <c r="K1263" s="148"/>
      <c r="L1263" s="138"/>
      <c r="M1263" s="138"/>
      <c r="N1263" s="138"/>
      <c r="O1263" s="138"/>
      <c r="Q1263" s="143"/>
      <c r="R1263" s="143"/>
      <c r="S1263" s="143"/>
      <c r="T1263" s="140"/>
      <c r="U1263" s="140"/>
      <c r="V1263" s="140"/>
      <c r="W1263" s="140"/>
      <c r="X1263" s="140"/>
      <c r="Y1263" s="140"/>
      <c r="Z1263" s="140"/>
    </row>
    <row r="1264" spans="1:26" s="141" customFormat="1">
      <c r="A1264" s="138"/>
      <c r="B1264" s="138"/>
      <c r="C1264" s="138"/>
      <c r="D1264" s="138"/>
      <c r="E1264" s="138"/>
      <c r="F1264" s="148"/>
      <c r="G1264" s="148"/>
      <c r="H1264" s="138"/>
      <c r="I1264" s="148"/>
      <c r="J1264" s="138"/>
      <c r="K1264" s="148"/>
      <c r="L1264" s="138"/>
      <c r="M1264" s="138"/>
      <c r="N1264" s="138"/>
      <c r="O1264" s="138"/>
      <c r="Q1264" s="143"/>
      <c r="R1264" s="143"/>
      <c r="S1264" s="143"/>
      <c r="T1264" s="140"/>
      <c r="U1264" s="140"/>
      <c r="V1264" s="140"/>
      <c r="W1264" s="140"/>
      <c r="X1264" s="140"/>
      <c r="Y1264" s="140"/>
      <c r="Z1264" s="140"/>
    </row>
    <row r="1265" spans="1:26" s="141" customFormat="1">
      <c r="A1265" s="138"/>
      <c r="B1265" s="138"/>
      <c r="C1265" s="138"/>
      <c r="D1265" s="138"/>
      <c r="E1265" s="138"/>
      <c r="F1265" s="148"/>
      <c r="G1265" s="148"/>
      <c r="H1265" s="138"/>
      <c r="I1265" s="148"/>
      <c r="J1265" s="138"/>
      <c r="K1265" s="148"/>
      <c r="L1265" s="138"/>
      <c r="M1265" s="138"/>
      <c r="N1265" s="138"/>
      <c r="O1265" s="138"/>
      <c r="Q1265" s="143"/>
      <c r="R1265" s="143"/>
      <c r="S1265" s="143"/>
      <c r="T1265" s="140"/>
      <c r="U1265" s="140"/>
      <c r="V1265" s="140"/>
      <c r="W1265" s="140"/>
      <c r="X1265" s="140"/>
      <c r="Y1265" s="140"/>
      <c r="Z1265" s="140"/>
    </row>
  </sheetData>
  <sheetProtection password="C420" sheet="1" objects="1" scenarios="1"/>
  <protectedRanges>
    <protectedRange sqref="E24 I4 B6 I6 I8 F8:G8 E28 B8 G13 E26" name="Yellow"/>
  </protectedRanges>
  <mergeCells count="47">
    <mergeCell ref="E39:I39"/>
    <mergeCell ref="E40:I40"/>
    <mergeCell ref="E41:I41"/>
    <mergeCell ref="E42:I42"/>
    <mergeCell ref="E34:I34"/>
    <mergeCell ref="E35:I35"/>
    <mergeCell ref="E36:I36"/>
    <mergeCell ref="E37:I37"/>
    <mergeCell ref="E38:I38"/>
    <mergeCell ref="A15:E15"/>
    <mergeCell ref="I11:K11"/>
    <mergeCell ref="B11:F11"/>
    <mergeCell ref="H8:H11"/>
    <mergeCell ref="I4:K4"/>
    <mergeCell ref="J13:K13"/>
    <mergeCell ref="I6:K6"/>
    <mergeCell ref="B6:F6"/>
    <mergeCell ref="E8:F9"/>
    <mergeCell ref="I8:K8"/>
    <mergeCell ref="B1:H1"/>
    <mergeCell ref="G13:H13"/>
    <mergeCell ref="F24:H24"/>
    <mergeCell ref="B4:F4"/>
    <mergeCell ref="A49:B49"/>
    <mergeCell ref="A47:B47"/>
    <mergeCell ref="A44:B44"/>
    <mergeCell ref="G47:H47"/>
    <mergeCell ref="C47:F47"/>
    <mergeCell ref="A30:B30"/>
    <mergeCell ref="A28:B28"/>
    <mergeCell ref="A20:E20"/>
    <mergeCell ref="A31:B31"/>
    <mergeCell ref="B13:E13"/>
    <mergeCell ref="A24:B24"/>
    <mergeCell ref="A26:B26"/>
    <mergeCell ref="A51:B51"/>
    <mergeCell ref="A53:B53"/>
    <mergeCell ref="A55:B55"/>
    <mergeCell ref="A77:B77"/>
    <mergeCell ref="A57:B57"/>
    <mergeCell ref="H77:I77"/>
    <mergeCell ref="J65:J66"/>
    <mergeCell ref="A74:B74"/>
    <mergeCell ref="H74:I74"/>
    <mergeCell ref="H71:I71"/>
    <mergeCell ref="B69:C69"/>
    <mergeCell ref="A72:B72"/>
  </mergeCells>
  <dataValidations count="7">
    <dataValidation type="list" showInputMessage="1" showErrorMessage="1" sqref="E61">
      <formula1>slope</formula1>
    </dataValidation>
    <dataValidation type="list" showInputMessage="1" showErrorMessage="1" sqref="C47:D47">
      <formula1>soiltexture</formula1>
    </dataValidation>
    <dataValidation type="list" allowBlank="1" showInputMessage="1" showErrorMessage="1" sqref="E65">
      <formula1>nssf</formula1>
    </dataValidation>
    <dataValidation type="list" showInputMessage="1" showErrorMessage="1" sqref="J71">
      <formula1>SSF</formula1>
    </dataValidation>
    <dataValidation type="list" showInputMessage="1" showErrorMessage="1" sqref="E74">
      <formula1>septictank</formula1>
    </dataValidation>
    <dataValidation type="list" showInputMessage="1" showErrorMessage="1" sqref="J77">
      <formula1>llr</formula1>
    </dataValidation>
    <dataValidation type="list" showInputMessage="1" showErrorMessage="1" sqref="E24">
      <formula1>bedrooms</formula1>
    </dataValidation>
  </dataValidations>
  <pageMargins left="0.5" right="0.5" top="0.125" bottom="0.125" header="0.5" footer="0.28999999999999998"/>
  <pageSetup scale="65" orientation="portrait" r:id="rId1"/>
  <headerFoot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92" r:id="rId4" name="Check Box 168">
              <controlPr defaultSize="0" autoFill="0" autoLine="0" autoPict="0">
                <anchor moveWithCells="1">
                  <from>
                    <xdr:col>4</xdr:col>
                    <xdr:colOff>0</xdr:colOff>
                    <xdr:row>76</xdr:row>
                    <xdr:rowOff>0</xdr:rowOff>
                  </from>
                  <to>
                    <xdr:col>4</xdr:col>
                    <xdr:colOff>590550</xdr:colOff>
                    <xdr:row>77</xdr:row>
                    <xdr:rowOff>9525</xdr:rowOff>
                  </to>
                </anchor>
              </controlPr>
            </control>
          </mc:Choice>
        </mc:AlternateContent>
        <mc:AlternateContent xmlns:mc="http://schemas.openxmlformats.org/markup-compatibility/2006">
          <mc:Choice Requires="x14">
            <control shapeId="1197" r:id="rId5" name="Group Box 173">
              <controlPr defaultSize="0" autoFill="0" autoPict="0">
                <anchor moveWithCells="1">
                  <from>
                    <xdr:col>3</xdr:col>
                    <xdr:colOff>647700</xdr:colOff>
                    <xdr:row>20</xdr:row>
                    <xdr:rowOff>95250</xdr:rowOff>
                  </from>
                  <to>
                    <xdr:col>7</xdr:col>
                    <xdr:colOff>914400</xdr:colOff>
                    <xdr:row>22</xdr:row>
                    <xdr:rowOff>66675</xdr:rowOff>
                  </to>
                </anchor>
              </controlPr>
            </control>
          </mc:Choice>
        </mc:AlternateContent>
        <mc:AlternateContent xmlns:mc="http://schemas.openxmlformats.org/markup-compatibility/2006">
          <mc:Choice Requires="x14">
            <control shapeId="1198" r:id="rId6" name="Option Button 174">
              <controlPr defaultSize="0" autoFill="0" autoLine="0" autoPict="0">
                <anchor moveWithCells="1">
                  <from>
                    <xdr:col>4</xdr:col>
                    <xdr:colOff>104775</xdr:colOff>
                    <xdr:row>21</xdr:row>
                    <xdr:rowOff>47625</xdr:rowOff>
                  </from>
                  <to>
                    <xdr:col>5</xdr:col>
                    <xdr:colOff>85725</xdr:colOff>
                    <xdr:row>22</xdr:row>
                    <xdr:rowOff>57150</xdr:rowOff>
                  </to>
                </anchor>
              </controlPr>
            </control>
          </mc:Choice>
        </mc:AlternateContent>
        <mc:AlternateContent xmlns:mc="http://schemas.openxmlformats.org/markup-compatibility/2006">
          <mc:Choice Requires="x14">
            <control shapeId="1199" r:id="rId7" name="Option Button 175">
              <controlPr defaultSize="0" autoFill="0" autoLine="0" autoPict="0">
                <anchor moveWithCells="1">
                  <from>
                    <xdr:col>4</xdr:col>
                    <xdr:colOff>1000125</xdr:colOff>
                    <xdr:row>21</xdr:row>
                    <xdr:rowOff>38100</xdr:rowOff>
                  </from>
                  <to>
                    <xdr:col>5</xdr:col>
                    <xdr:colOff>1057275</xdr:colOff>
                    <xdr:row>22</xdr:row>
                    <xdr:rowOff>57150</xdr:rowOff>
                  </to>
                </anchor>
              </controlPr>
            </control>
          </mc:Choice>
        </mc:AlternateContent>
        <mc:AlternateContent xmlns:mc="http://schemas.openxmlformats.org/markup-compatibility/2006">
          <mc:Choice Requires="x14">
            <control shapeId="1200" r:id="rId8" name="Option Button 176">
              <controlPr defaultSize="0" autoFill="0" autoLine="0" autoPict="0">
                <anchor moveWithCells="1">
                  <from>
                    <xdr:col>5</xdr:col>
                    <xdr:colOff>819150</xdr:colOff>
                    <xdr:row>21</xdr:row>
                    <xdr:rowOff>47625</xdr:rowOff>
                  </from>
                  <to>
                    <xdr:col>7</xdr:col>
                    <xdr:colOff>190500</xdr:colOff>
                    <xdr:row>22</xdr:row>
                    <xdr:rowOff>57150</xdr:rowOff>
                  </to>
                </anchor>
              </controlPr>
            </control>
          </mc:Choice>
        </mc:AlternateContent>
        <mc:AlternateContent xmlns:mc="http://schemas.openxmlformats.org/markup-compatibility/2006">
          <mc:Choice Requires="x14">
            <control shapeId="1206" r:id="rId9" name="Option Button 182">
              <controlPr defaultSize="0" autoFill="0" autoLine="0" autoPict="0">
                <anchor moveWithCells="1">
                  <from>
                    <xdr:col>7</xdr:col>
                    <xdr:colOff>114300</xdr:colOff>
                    <xdr:row>21</xdr:row>
                    <xdr:rowOff>47625</xdr:rowOff>
                  </from>
                  <to>
                    <xdr:col>7</xdr:col>
                    <xdr:colOff>866775</xdr:colOff>
                    <xdr:row>22</xdr:row>
                    <xdr:rowOff>57150</xdr:rowOff>
                  </to>
                </anchor>
              </controlPr>
            </control>
          </mc:Choice>
        </mc:AlternateContent>
        <mc:AlternateContent xmlns:mc="http://schemas.openxmlformats.org/markup-compatibility/2006">
          <mc:Choice Requires="x14">
            <control shapeId="1029" r:id="rId10" name="Check Box 5">
              <controlPr defaultSize="0" autoFill="0" autoLine="0" autoPict="0">
                <anchor moveWithCells="1" sizeWithCells="1">
                  <from>
                    <xdr:col>6</xdr:col>
                    <xdr:colOff>0</xdr:colOff>
                    <xdr:row>16</xdr:row>
                    <xdr:rowOff>190500</xdr:rowOff>
                  </from>
                  <to>
                    <xdr:col>7</xdr:col>
                    <xdr:colOff>619125</xdr:colOff>
                    <xdr:row>18</xdr:row>
                    <xdr:rowOff>38100</xdr:rowOff>
                  </to>
                </anchor>
              </controlPr>
            </control>
          </mc:Choice>
        </mc:AlternateContent>
        <mc:AlternateContent xmlns:mc="http://schemas.openxmlformats.org/markup-compatibility/2006">
          <mc:Choice Requires="x14">
            <control shapeId="1025" r:id="rId11" name="Group Box 1">
              <controlPr defaultSize="0" autoFill="0" autoPict="0">
                <anchor moveWithCells="1" sizeWithCells="1">
                  <from>
                    <xdr:col>1</xdr:col>
                    <xdr:colOff>495300</xdr:colOff>
                    <xdr:row>16</xdr:row>
                    <xdr:rowOff>114300</xdr:rowOff>
                  </from>
                  <to>
                    <xdr:col>10</xdr:col>
                    <xdr:colOff>457200</xdr:colOff>
                    <xdr:row>18</xdr:row>
                    <xdr:rowOff>104775</xdr:rowOff>
                  </to>
                </anchor>
              </controlPr>
            </control>
          </mc:Choice>
        </mc:AlternateContent>
        <mc:AlternateContent xmlns:mc="http://schemas.openxmlformats.org/markup-compatibility/2006">
          <mc:Choice Requires="x14">
            <control shapeId="1026" r:id="rId12" name="Check Box 2">
              <controlPr defaultSize="0" autoFill="0" autoLine="0" autoPict="0">
                <anchor moveWithCells="1" sizeWithCells="1">
                  <from>
                    <xdr:col>1</xdr:col>
                    <xdr:colOff>733425</xdr:colOff>
                    <xdr:row>16</xdr:row>
                    <xdr:rowOff>209550</xdr:rowOff>
                  </from>
                  <to>
                    <xdr:col>4</xdr:col>
                    <xdr:colOff>590550</xdr:colOff>
                    <xdr:row>18</xdr:row>
                    <xdr:rowOff>28575</xdr:rowOff>
                  </to>
                </anchor>
              </controlPr>
            </control>
          </mc:Choice>
        </mc:AlternateContent>
        <mc:AlternateContent xmlns:mc="http://schemas.openxmlformats.org/markup-compatibility/2006">
          <mc:Choice Requires="x14">
            <control shapeId="1027" r:id="rId13" name="Check Box 3">
              <controlPr defaultSize="0" autoFill="0" autoLine="0" autoPict="0">
                <anchor moveWithCells="1" sizeWithCells="1">
                  <from>
                    <xdr:col>3</xdr:col>
                    <xdr:colOff>466725</xdr:colOff>
                    <xdr:row>16</xdr:row>
                    <xdr:rowOff>200025</xdr:rowOff>
                  </from>
                  <to>
                    <xdr:col>5</xdr:col>
                    <xdr:colOff>381000</xdr:colOff>
                    <xdr:row>18</xdr:row>
                    <xdr:rowOff>28575</xdr:rowOff>
                  </to>
                </anchor>
              </controlPr>
            </control>
          </mc:Choice>
        </mc:AlternateContent>
        <mc:AlternateContent xmlns:mc="http://schemas.openxmlformats.org/markup-compatibility/2006">
          <mc:Choice Requires="x14">
            <control shapeId="1028" r:id="rId14" name="Check Box 4">
              <controlPr defaultSize="0" autoFill="0" autoLine="0" autoPict="0">
                <anchor moveWithCells="1" sizeWithCells="1">
                  <from>
                    <xdr:col>5</xdr:col>
                    <xdr:colOff>419100</xdr:colOff>
                    <xdr:row>16</xdr:row>
                    <xdr:rowOff>190500</xdr:rowOff>
                  </from>
                  <to>
                    <xdr:col>5</xdr:col>
                    <xdr:colOff>1104900</xdr:colOff>
                    <xdr:row>18</xdr:row>
                    <xdr:rowOff>38100</xdr:rowOff>
                  </to>
                </anchor>
              </controlPr>
            </control>
          </mc:Choice>
        </mc:AlternateContent>
        <mc:AlternateContent xmlns:mc="http://schemas.openxmlformats.org/markup-compatibility/2006">
          <mc:Choice Requires="x14">
            <control shapeId="1030" r:id="rId15" name="Check Box 6">
              <controlPr defaultSize="0" autoFill="0" autoLine="0" autoPict="0">
                <anchor moveWithCells="1" sizeWithCells="1">
                  <from>
                    <xdr:col>7</xdr:col>
                    <xdr:colOff>704850</xdr:colOff>
                    <xdr:row>16</xdr:row>
                    <xdr:rowOff>190500</xdr:rowOff>
                  </from>
                  <to>
                    <xdr:col>9</xdr:col>
                    <xdr:colOff>47625</xdr:colOff>
                    <xdr:row>18</xdr:row>
                    <xdr:rowOff>19050</xdr:rowOff>
                  </to>
                </anchor>
              </controlPr>
            </control>
          </mc:Choice>
        </mc:AlternateContent>
        <mc:AlternateContent xmlns:mc="http://schemas.openxmlformats.org/markup-compatibility/2006">
          <mc:Choice Requires="x14">
            <control shapeId="1031" r:id="rId16" name="Check Box 7">
              <controlPr defaultSize="0" autoFill="0" autoLine="0" autoPict="0">
                <anchor moveWithCells="1" sizeWithCells="1">
                  <from>
                    <xdr:col>9</xdr:col>
                    <xdr:colOff>180975</xdr:colOff>
                    <xdr:row>16</xdr:row>
                    <xdr:rowOff>180975</xdr:rowOff>
                  </from>
                  <to>
                    <xdr:col>10</xdr:col>
                    <xdr:colOff>247650</xdr:colOff>
                    <xdr:row>18</xdr:row>
                    <xdr:rowOff>19050</xdr:rowOff>
                  </to>
                </anchor>
              </controlPr>
            </control>
          </mc:Choice>
        </mc:AlternateContent>
        <mc:AlternateContent xmlns:mc="http://schemas.openxmlformats.org/markup-compatibility/2006">
          <mc:Choice Requires="x14">
            <control shapeId="1082" r:id="rId17" name="Group Box 58">
              <controlPr defaultSize="0" autoFill="0" autoPict="0">
                <anchor moveWithCells="1" sizeWithCells="1">
                  <from>
                    <xdr:col>2</xdr:col>
                    <xdr:colOff>66675</xdr:colOff>
                    <xdr:row>47</xdr:row>
                    <xdr:rowOff>209550</xdr:rowOff>
                  </from>
                  <to>
                    <xdr:col>5</xdr:col>
                    <xdr:colOff>838200</xdr:colOff>
                    <xdr:row>49</xdr:row>
                    <xdr:rowOff>85725</xdr:rowOff>
                  </to>
                </anchor>
              </controlPr>
            </control>
          </mc:Choice>
        </mc:AlternateContent>
        <mc:AlternateContent xmlns:mc="http://schemas.openxmlformats.org/markup-compatibility/2006">
          <mc:Choice Requires="x14">
            <control shapeId="1083" r:id="rId18" name="Option Button 59">
              <controlPr defaultSize="0" autoFill="0" autoLine="0" autoPict="0">
                <anchor moveWithCells="1" sizeWithCells="1">
                  <from>
                    <xdr:col>4</xdr:col>
                    <xdr:colOff>38100</xdr:colOff>
                    <xdr:row>48</xdr:row>
                    <xdr:rowOff>104775</xdr:rowOff>
                  </from>
                  <to>
                    <xdr:col>4</xdr:col>
                    <xdr:colOff>762000</xdr:colOff>
                    <xdr:row>49</xdr:row>
                    <xdr:rowOff>28575</xdr:rowOff>
                  </to>
                </anchor>
              </controlPr>
            </control>
          </mc:Choice>
        </mc:AlternateContent>
        <mc:AlternateContent xmlns:mc="http://schemas.openxmlformats.org/markup-compatibility/2006">
          <mc:Choice Requires="x14">
            <control shapeId="1085" r:id="rId19" name="Option Button 61">
              <controlPr defaultSize="0" autoFill="0" autoLine="0" autoPict="0">
                <anchor moveWithCells="1" sizeWithCells="1">
                  <from>
                    <xdr:col>4</xdr:col>
                    <xdr:colOff>676275</xdr:colOff>
                    <xdr:row>48</xdr:row>
                    <xdr:rowOff>104775</xdr:rowOff>
                  </from>
                  <to>
                    <xdr:col>5</xdr:col>
                    <xdr:colOff>209550</xdr:colOff>
                    <xdr:row>49</xdr:row>
                    <xdr:rowOff>28575</xdr:rowOff>
                  </to>
                </anchor>
              </controlPr>
            </control>
          </mc:Choice>
        </mc:AlternateContent>
        <mc:AlternateContent xmlns:mc="http://schemas.openxmlformats.org/markup-compatibility/2006">
          <mc:Choice Requires="x14">
            <control shapeId="1088" r:id="rId20" name="Option Button 64">
              <controlPr defaultSize="0" autoFill="0" autoLine="0" autoPict="0">
                <anchor moveWithCells="1" sizeWithCells="1">
                  <from>
                    <xdr:col>5</xdr:col>
                    <xdr:colOff>180975</xdr:colOff>
                    <xdr:row>48</xdr:row>
                    <xdr:rowOff>104775</xdr:rowOff>
                  </from>
                  <to>
                    <xdr:col>5</xdr:col>
                    <xdr:colOff>819150</xdr:colOff>
                    <xdr:row>49</xdr:row>
                    <xdr:rowOff>28575</xdr:rowOff>
                  </to>
                </anchor>
              </controlPr>
            </control>
          </mc:Choice>
        </mc:AlternateContent>
        <mc:AlternateContent xmlns:mc="http://schemas.openxmlformats.org/markup-compatibility/2006">
          <mc:Choice Requires="x14">
            <control shapeId="1090" r:id="rId21" name="Group Box 66">
              <controlPr defaultSize="0" autoFill="0" autoPict="0">
                <anchor moveWithCells="1" sizeWithCells="1">
                  <from>
                    <xdr:col>2</xdr:col>
                    <xdr:colOff>66675</xdr:colOff>
                    <xdr:row>50</xdr:row>
                    <xdr:rowOff>0</xdr:rowOff>
                  </from>
                  <to>
                    <xdr:col>9</xdr:col>
                    <xdr:colOff>0</xdr:colOff>
                    <xdr:row>51</xdr:row>
                    <xdr:rowOff>76200</xdr:rowOff>
                  </to>
                </anchor>
              </controlPr>
            </control>
          </mc:Choice>
        </mc:AlternateContent>
        <mc:AlternateContent xmlns:mc="http://schemas.openxmlformats.org/markup-compatibility/2006">
          <mc:Choice Requires="x14">
            <control shapeId="1106" r:id="rId22" name="Option Button 82">
              <controlPr defaultSize="0" autoFill="0" autoLine="0" autoPict="0">
                <anchor moveWithCells="1" sizeWithCells="1">
                  <from>
                    <xdr:col>4</xdr:col>
                    <xdr:colOff>133350</xdr:colOff>
                    <xdr:row>50</xdr:row>
                    <xdr:rowOff>85725</xdr:rowOff>
                  </from>
                  <to>
                    <xdr:col>4</xdr:col>
                    <xdr:colOff>704850</xdr:colOff>
                    <xdr:row>50</xdr:row>
                    <xdr:rowOff>209550</xdr:rowOff>
                  </to>
                </anchor>
              </controlPr>
            </control>
          </mc:Choice>
        </mc:AlternateContent>
        <mc:AlternateContent xmlns:mc="http://schemas.openxmlformats.org/markup-compatibility/2006">
          <mc:Choice Requires="x14">
            <control shapeId="1107" r:id="rId23" name="Option Button 83">
              <controlPr defaultSize="0" autoFill="0" autoLine="0" autoPict="0">
                <anchor moveWithCells="1" sizeWithCells="1">
                  <from>
                    <xdr:col>5</xdr:col>
                    <xdr:colOff>647700</xdr:colOff>
                    <xdr:row>50</xdr:row>
                    <xdr:rowOff>85725</xdr:rowOff>
                  </from>
                  <to>
                    <xdr:col>6</xdr:col>
                    <xdr:colOff>171450</xdr:colOff>
                    <xdr:row>50</xdr:row>
                    <xdr:rowOff>209550</xdr:rowOff>
                  </to>
                </anchor>
              </controlPr>
            </control>
          </mc:Choice>
        </mc:AlternateContent>
        <mc:AlternateContent xmlns:mc="http://schemas.openxmlformats.org/markup-compatibility/2006">
          <mc:Choice Requires="x14">
            <control shapeId="1108" r:id="rId24" name="Option Button 84">
              <controlPr defaultSize="0" autoFill="0" autoLine="0" autoPict="0">
                <anchor moveWithCells="1" sizeWithCells="1">
                  <from>
                    <xdr:col>6</xdr:col>
                    <xdr:colOff>219075</xdr:colOff>
                    <xdr:row>50</xdr:row>
                    <xdr:rowOff>95250</xdr:rowOff>
                  </from>
                  <to>
                    <xdr:col>7</xdr:col>
                    <xdr:colOff>657225</xdr:colOff>
                    <xdr:row>51</xdr:row>
                    <xdr:rowOff>0</xdr:rowOff>
                  </to>
                </anchor>
              </controlPr>
            </control>
          </mc:Choice>
        </mc:AlternateContent>
        <mc:AlternateContent xmlns:mc="http://schemas.openxmlformats.org/markup-compatibility/2006">
          <mc:Choice Requires="x14">
            <control shapeId="1111" r:id="rId25" name="Option Button 87">
              <controlPr defaultSize="0" autoFill="0" autoLine="0" autoPict="0">
                <anchor moveWithCells="1" sizeWithCells="1">
                  <from>
                    <xdr:col>7</xdr:col>
                    <xdr:colOff>866775</xdr:colOff>
                    <xdr:row>50</xdr:row>
                    <xdr:rowOff>95250</xdr:rowOff>
                  </from>
                  <to>
                    <xdr:col>8</xdr:col>
                    <xdr:colOff>390525</xdr:colOff>
                    <xdr:row>51</xdr:row>
                    <xdr:rowOff>0</xdr:rowOff>
                  </to>
                </anchor>
              </controlPr>
            </control>
          </mc:Choice>
        </mc:AlternateContent>
        <mc:AlternateContent xmlns:mc="http://schemas.openxmlformats.org/markup-compatibility/2006">
          <mc:Choice Requires="x14">
            <control shapeId="1109" r:id="rId26" name="Option Button 85">
              <controlPr defaultSize="0" autoFill="0" autoLine="0" autoPict="0">
                <anchor moveWithCells="1" sizeWithCells="1">
                  <from>
                    <xdr:col>4</xdr:col>
                    <xdr:colOff>838200</xdr:colOff>
                    <xdr:row>50</xdr:row>
                    <xdr:rowOff>57150</xdr:rowOff>
                  </from>
                  <to>
                    <xdr:col>5</xdr:col>
                    <xdr:colOff>581025</xdr:colOff>
                    <xdr:row>51</xdr:row>
                    <xdr:rowOff>57150</xdr:rowOff>
                  </to>
                </anchor>
              </controlPr>
            </control>
          </mc:Choice>
        </mc:AlternateContent>
        <mc:AlternateContent xmlns:mc="http://schemas.openxmlformats.org/markup-compatibility/2006">
          <mc:Choice Requires="x14">
            <control shapeId="1115" r:id="rId27" name="Group Box 91">
              <controlPr defaultSize="0" autoFill="0" autoPict="0">
                <anchor moveWithCells="1" sizeWithCells="1">
                  <from>
                    <xdr:col>8</xdr:col>
                    <xdr:colOff>133350</xdr:colOff>
                    <xdr:row>47</xdr:row>
                    <xdr:rowOff>200025</xdr:rowOff>
                  </from>
                  <to>
                    <xdr:col>10</xdr:col>
                    <xdr:colOff>466725</xdr:colOff>
                    <xdr:row>49</xdr:row>
                    <xdr:rowOff>38100</xdr:rowOff>
                  </to>
                </anchor>
              </controlPr>
            </control>
          </mc:Choice>
        </mc:AlternateContent>
        <mc:AlternateContent xmlns:mc="http://schemas.openxmlformats.org/markup-compatibility/2006">
          <mc:Choice Requires="x14">
            <control shapeId="1116" r:id="rId28" name="Option Button 92">
              <controlPr defaultSize="0" autoFill="0" autoLine="0" autoPict="0">
                <anchor moveWithCells="1" sizeWithCells="1">
                  <from>
                    <xdr:col>8</xdr:col>
                    <xdr:colOff>219075</xdr:colOff>
                    <xdr:row>48</xdr:row>
                    <xdr:rowOff>76200</xdr:rowOff>
                  </from>
                  <to>
                    <xdr:col>9</xdr:col>
                    <xdr:colOff>457200</xdr:colOff>
                    <xdr:row>48</xdr:row>
                    <xdr:rowOff>209550</xdr:rowOff>
                  </to>
                </anchor>
              </controlPr>
            </control>
          </mc:Choice>
        </mc:AlternateContent>
        <mc:AlternateContent xmlns:mc="http://schemas.openxmlformats.org/markup-compatibility/2006">
          <mc:Choice Requires="x14">
            <control shapeId="1117" r:id="rId29" name="Option Button 93">
              <controlPr defaultSize="0" autoFill="0" autoLine="0" autoPict="0">
                <anchor moveWithCells="1" sizeWithCells="1">
                  <from>
                    <xdr:col>9</xdr:col>
                    <xdr:colOff>371475</xdr:colOff>
                    <xdr:row>48</xdr:row>
                    <xdr:rowOff>76200</xdr:rowOff>
                  </from>
                  <to>
                    <xdr:col>9</xdr:col>
                    <xdr:colOff>1123950</xdr:colOff>
                    <xdr:row>48</xdr:row>
                    <xdr:rowOff>209550</xdr:rowOff>
                  </to>
                </anchor>
              </controlPr>
            </control>
          </mc:Choice>
        </mc:AlternateContent>
        <mc:AlternateContent xmlns:mc="http://schemas.openxmlformats.org/markup-compatibility/2006">
          <mc:Choice Requires="x14">
            <control shapeId="1118" r:id="rId30" name="Option Button 94">
              <controlPr defaultSize="0" autoFill="0" autoLine="0" autoPict="0">
                <anchor moveWithCells="1" sizeWithCells="1">
                  <from>
                    <xdr:col>9</xdr:col>
                    <xdr:colOff>1104900</xdr:colOff>
                    <xdr:row>48</xdr:row>
                    <xdr:rowOff>76200</xdr:rowOff>
                  </from>
                  <to>
                    <xdr:col>10</xdr:col>
                    <xdr:colOff>447675</xdr:colOff>
                    <xdr:row>48</xdr:row>
                    <xdr:rowOff>209550</xdr:rowOff>
                  </to>
                </anchor>
              </controlPr>
            </control>
          </mc:Choice>
        </mc:AlternateContent>
        <mc:AlternateContent xmlns:mc="http://schemas.openxmlformats.org/markup-compatibility/2006">
          <mc:Choice Requires="x14">
            <control shapeId="1120" r:id="rId31" name="Group Box 96">
              <controlPr defaultSize="0" autoFill="0" autoPict="0">
                <anchor moveWithCells="1" sizeWithCells="1">
                  <from>
                    <xdr:col>2</xdr:col>
                    <xdr:colOff>66675</xdr:colOff>
                    <xdr:row>52</xdr:row>
                    <xdr:rowOff>28575</xdr:rowOff>
                  </from>
                  <to>
                    <xdr:col>9</xdr:col>
                    <xdr:colOff>895350</xdr:colOff>
                    <xdr:row>53</xdr:row>
                    <xdr:rowOff>104775</xdr:rowOff>
                  </to>
                </anchor>
              </controlPr>
            </control>
          </mc:Choice>
        </mc:AlternateContent>
        <mc:AlternateContent xmlns:mc="http://schemas.openxmlformats.org/markup-compatibility/2006">
          <mc:Choice Requires="x14">
            <control shapeId="1121" r:id="rId32" name="Option Button 97">
              <controlPr defaultSize="0" autoFill="0" autoLine="0" autoPict="0">
                <anchor moveWithCells="1" sizeWithCells="1">
                  <from>
                    <xdr:col>4</xdr:col>
                    <xdr:colOff>161925</xdr:colOff>
                    <xdr:row>52</xdr:row>
                    <xdr:rowOff>114300</xdr:rowOff>
                  </from>
                  <to>
                    <xdr:col>4</xdr:col>
                    <xdr:colOff>847725</xdr:colOff>
                    <xdr:row>53</xdr:row>
                    <xdr:rowOff>19050</xdr:rowOff>
                  </to>
                </anchor>
              </controlPr>
            </control>
          </mc:Choice>
        </mc:AlternateContent>
        <mc:AlternateContent xmlns:mc="http://schemas.openxmlformats.org/markup-compatibility/2006">
          <mc:Choice Requires="x14">
            <control shapeId="1122" r:id="rId33" name="Option Button 98">
              <controlPr defaultSize="0" autoFill="0" autoLine="0" autoPict="0">
                <anchor moveWithCells="1" sizeWithCells="1">
                  <from>
                    <xdr:col>5</xdr:col>
                    <xdr:colOff>990600</xdr:colOff>
                    <xdr:row>52</xdr:row>
                    <xdr:rowOff>114300</xdr:rowOff>
                  </from>
                  <to>
                    <xdr:col>7</xdr:col>
                    <xdr:colOff>323850</xdr:colOff>
                    <xdr:row>53</xdr:row>
                    <xdr:rowOff>19050</xdr:rowOff>
                  </to>
                </anchor>
              </controlPr>
            </control>
          </mc:Choice>
        </mc:AlternateContent>
        <mc:AlternateContent xmlns:mc="http://schemas.openxmlformats.org/markup-compatibility/2006">
          <mc:Choice Requires="x14">
            <control shapeId="1123" r:id="rId34" name="Option Button 99">
              <controlPr defaultSize="0" autoFill="0" autoLine="0" autoPict="0">
                <anchor moveWithCells="1" sizeWithCells="1">
                  <from>
                    <xdr:col>7</xdr:col>
                    <xdr:colOff>381000</xdr:colOff>
                    <xdr:row>52</xdr:row>
                    <xdr:rowOff>123825</xdr:rowOff>
                  </from>
                  <to>
                    <xdr:col>7</xdr:col>
                    <xdr:colOff>1323975</xdr:colOff>
                    <xdr:row>53</xdr:row>
                    <xdr:rowOff>28575</xdr:rowOff>
                  </to>
                </anchor>
              </controlPr>
            </control>
          </mc:Choice>
        </mc:AlternateContent>
        <mc:AlternateContent xmlns:mc="http://schemas.openxmlformats.org/markup-compatibility/2006">
          <mc:Choice Requires="x14">
            <control shapeId="1124" r:id="rId35" name="Option Button 100">
              <controlPr defaultSize="0" autoFill="0" autoLine="0" autoPict="0">
                <anchor moveWithCells="1" sizeWithCells="1">
                  <from>
                    <xdr:col>8</xdr:col>
                    <xdr:colOff>180975</xdr:colOff>
                    <xdr:row>52</xdr:row>
                    <xdr:rowOff>123825</xdr:rowOff>
                  </from>
                  <to>
                    <xdr:col>9</xdr:col>
                    <xdr:colOff>742950</xdr:colOff>
                    <xdr:row>53</xdr:row>
                    <xdr:rowOff>28575</xdr:rowOff>
                  </to>
                </anchor>
              </controlPr>
            </control>
          </mc:Choice>
        </mc:AlternateContent>
        <mc:AlternateContent xmlns:mc="http://schemas.openxmlformats.org/markup-compatibility/2006">
          <mc:Choice Requires="x14">
            <control shapeId="1125" r:id="rId36" name="Option Button 101">
              <controlPr defaultSize="0" autoFill="0" autoLine="0" autoPict="0">
                <anchor moveWithCells="1" sizeWithCells="1">
                  <from>
                    <xdr:col>4</xdr:col>
                    <xdr:colOff>1028700</xdr:colOff>
                    <xdr:row>52</xdr:row>
                    <xdr:rowOff>114300</xdr:rowOff>
                  </from>
                  <to>
                    <xdr:col>5</xdr:col>
                    <xdr:colOff>781050</xdr:colOff>
                    <xdr:row>53</xdr:row>
                    <xdr:rowOff>19050</xdr:rowOff>
                  </to>
                </anchor>
              </controlPr>
            </control>
          </mc:Choice>
        </mc:AlternateContent>
        <mc:AlternateContent xmlns:mc="http://schemas.openxmlformats.org/markup-compatibility/2006">
          <mc:Choice Requires="x14">
            <control shapeId="1128" r:id="rId37" name="Group Box 104">
              <controlPr defaultSize="0" autoFill="0" autoPict="0">
                <anchor moveWithCells="1" sizeWithCells="1">
                  <from>
                    <xdr:col>2</xdr:col>
                    <xdr:colOff>66675</xdr:colOff>
                    <xdr:row>54</xdr:row>
                    <xdr:rowOff>28575</xdr:rowOff>
                  </from>
                  <to>
                    <xdr:col>9</xdr:col>
                    <xdr:colOff>895350</xdr:colOff>
                    <xdr:row>55</xdr:row>
                    <xdr:rowOff>142875</xdr:rowOff>
                  </to>
                </anchor>
              </controlPr>
            </control>
          </mc:Choice>
        </mc:AlternateContent>
        <mc:AlternateContent xmlns:mc="http://schemas.openxmlformats.org/markup-compatibility/2006">
          <mc:Choice Requires="x14">
            <control shapeId="1129" r:id="rId38" name="Option Button 105">
              <controlPr defaultSize="0" autoFill="0" autoLine="0" autoPict="0">
                <anchor moveWithCells="1" sizeWithCells="1">
                  <from>
                    <xdr:col>4</xdr:col>
                    <xdr:colOff>161925</xdr:colOff>
                    <xdr:row>54</xdr:row>
                    <xdr:rowOff>133350</xdr:rowOff>
                  </from>
                  <to>
                    <xdr:col>4</xdr:col>
                    <xdr:colOff>847725</xdr:colOff>
                    <xdr:row>55</xdr:row>
                    <xdr:rowOff>47625</xdr:rowOff>
                  </to>
                </anchor>
              </controlPr>
            </control>
          </mc:Choice>
        </mc:AlternateContent>
        <mc:AlternateContent xmlns:mc="http://schemas.openxmlformats.org/markup-compatibility/2006">
          <mc:Choice Requires="x14">
            <control shapeId="1130" r:id="rId39" name="Option Button 106">
              <controlPr defaultSize="0" autoFill="0" autoLine="0" autoPict="0">
                <anchor moveWithCells="1" sizeWithCells="1">
                  <from>
                    <xdr:col>5</xdr:col>
                    <xdr:colOff>990600</xdr:colOff>
                    <xdr:row>54</xdr:row>
                    <xdr:rowOff>133350</xdr:rowOff>
                  </from>
                  <to>
                    <xdr:col>7</xdr:col>
                    <xdr:colOff>323850</xdr:colOff>
                    <xdr:row>55</xdr:row>
                    <xdr:rowOff>47625</xdr:rowOff>
                  </to>
                </anchor>
              </controlPr>
            </control>
          </mc:Choice>
        </mc:AlternateContent>
        <mc:AlternateContent xmlns:mc="http://schemas.openxmlformats.org/markup-compatibility/2006">
          <mc:Choice Requires="x14">
            <control shapeId="1131" r:id="rId40" name="Option Button 107">
              <controlPr defaultSize="0" autoFill="0" autoLine="0" autoPict="0">
                <anchor moveWithCells="1" sizeWithCells="1">
                  <from>
                    <xdr:col>7</xdr:col>
                    <xdr:colOff>381000</xdr:colOff>
                    <xdr:row>54</xdr:row>
                    <xdr:rowOff>142875</xdr:rowOff>
                  </from>
                  <to>
                    <xdr:col>7</xdr:col>
                    <xdr:colOff>1323975</xdr:colOff>
                    <xdr:row>55</xdr:row>
                    <xdr:rowOff>57150</xdr:rowOff>
                  </to>
                </anchor>
              </controlPr>
            </control>
          </mc:Choice>
        </mc:AlternateContent>
        <mc:AlternateContent xmlns:mc="http://schemas.openxmlformats.org/markup-compatibility/2006">
          <mc:Choice Requires="x14">
            <control shapeId="1132" r:id="rId41" name="Option Button 108">
              <controlPr defaultSize="0" autoFill="0" autoLine="0" autoPict="0">
                <anchor moveWithCells="1" sizeWithCells="1">
                  <from>
                    <xdr:col>8</xdr:col>
                    <xdr:colOff>180975</xdr:colOff>
                    <xdr:row>54</xdr:row>
                    <xdr:rowOff>142875</xdr:rowOff>
                  </from>
                  <to>
                    <xdr:col>9</xdr:col>
                    <xdr:colOff>742950</xdr:colOff>
                    <xdr:row>55</xdr:row>
                    <xdr:rowOff>57150</xdr:rowOff>
                  </to>
                </anchor>
              </controlPr>
            </control>
          </mc:Choice>
        </mc:AlternateContent>
        <mc:AlternateContent xmlns:mc="http://schemas.openxmlformats.org/markup-compatibility/2006">
          <mc:Choice Requires="x14">
            <control shapeId="1133" r:id="rId42" name="Option Button 109">
              <controlPr defaultSize="0" autoFill="0" autoLine="0" autoPict="0">
                <anchor moveWithCells="1" sizeWithCells="1">
                  <from>
                    <xdr:col>4</xdr:col>
                    <xdr:colOff>1028700</xdr:colOff>
                    <xdr:row>54</xdr:row>
                    <xdr:rowOff>133350</xdr:rowOff>
                  </from>
                  <to>
                    <xdr:col>5</xdr:col>
                    <xdr:colOff>781050</xdr:colOff>
                    <xdr:row>55</xdr:row>
                    <xdr:rowOff>47625</xdr:rowOff>
                  </to>
                </anchor>
              </controlPr>
            </control>
          </mc:Choice>
        </mc:AlternateContent>
        <mc:AlternateContent xmlns:mc="http://schemas.openxmlformats.org/markup-compatibility/2006">
          <mc:Choice Requires="x14">
            <control shapeId="1134" r:id="rId43" name="Group Box 110">
              <controlPr defaultSize="0" autoFill="0" autoPict="0">
                <anchor moveWithCells="1" sizeWithCells="1">
                  <from>
                    <xdr:col>8</xdr:col>
                    <xdr:colOff>133350</xdr:colOff>
                    <xdr:row>46</xdr:row>
                    <xdr:rowOff>0</xdr:rowOff>
                  </from>
                  <to>
                    <xdr:col>9</xdr:col>
                    <xdr:colOff>1143000</xdr:colOff>
                    <xdr:row>47</xdr:row>
                    <xdr:rowOff>38100</xdr:rowOff>
                  </to>
                </anchor>
              </controlPr>
            </control>
          </mc:Choice>
        </mc:AlternateContent>
        <mc:AlternateContent xmlns:mc="http://schemas.openxmlformats.org/markup-compatibility/2006">
          <mc:Choice Requires="x14">
            <control shapeId="1135" r:id="rId44" name="Option Button 111">
              <controlPr defaultSize="0" autoFill="0" autoLine="0" autoPict="0">
                <anchor moveWithCells="1" sizeWithCells="1">
                  <from>
                    <xdr:col>8</xdr:col>
                    <xdr:colOff>314325</xdr:colOff>
                    <xdr:row>46</xdr:row>
                    <xdr:rowOff>76200</xdr:rowOff>
                  </from>
                  <to>
                    <xdr:col>9</xdr:col>
                    <xdr:colOff>285750</xdr:colOff>
                    <xdr:row>47</xdr:row>
                    <xdr:rowOff>9525</xdr:rowOff>
                  </to>
                </anchor>
              </controlPr>
            </control>
          </mc:Choice>
        </mc:AlternateContent>
        <mc:AlternateContent xmlns:mc="http://schemas.openxmlformats.org/markup-compatibility/2006">
          <mc:Choice Requires="x14">
            <control shapeId="1136" r:id="rId45" name="Option Button 112">
              <controlPr defaultSize="0" autoFill="0" autoLine="0" autoPict="0">
                <anchor moveWithCells="1" sizeWithCells="1">
                  <from>
                    <xdr:col>9</xdr:col>
                    <xdr:colOff>438150</xdr:colOff>
                    <xdr:row>46</xdr:row>
                    <xdr:rowOff>76200</xdr:rowOff>
                  </from>
                  <to>
                    <xdr:col>9</xdr:col>
                    <xdr:colOff>933450</xdr:colOff>
                    <xdr:row>47</xdr:row>
                    <xdr:rowOff>9525</xdr:rowOff>
                  </to>
                </anchor>
              </controlPr>
            </control>
          </mc:Choice>
        </mc:AlternateContent>
        <mc:AlternateContent xmlns:mc="http://schemas.openxmlformats.org/markup-compatibility/2006">
          <mc:Choice Requires="x14">
            <control shapeId="1144" r:id="rId46" name="Group Box 120">
              <controlPr defaultSize="0" autoFill="0" autoPict="0">
                <anchor moveWithCells="1" sizeWithCells="1">
                  <from>
                    <xdr:col>4</xdr:col>
                    <xdr:colOff>0</xdr:colOff>
                    <xdr:row>65</xdr:row>
                    <xdr:rowOff>66675</xdr:rowOff>
                  </from>
                  <to>
                    <xdr:col>5</xdr:col>
                    <xdr:colOff>180975</xdr:colOff>
                    <xdr:row>67</xdr:row>
                    <xdr:rowOff>57150</xdr:rowOff>
                  </to>
                </anchor>
              </controlPr>
            </control>
          </mc:Choice>
        </mc:AlternateContent>
        <mc:AlternateContent xmlns:mc="http://schemas.openxmlformats.org/markup-compatibility/2006">
          <mc:Choice Requires="x14">
            <control shapeId="1145" r:id="rId47" name="Option Button 121">
              <controlPr defaultSize="0" autoFill="0" autoLine="0" autoPict="0">
                <anchor moveWithCells="1" sizeWithCells="1">
                  <from>
                    <xdr:col>4</xdr:col>
                    <xdr:colOff>114300</xdr:colOff>
                    <xdr:row>66</xdr:row>
                    <xdr:rowOff>28575</xdr:rowOff>
                  </from>
                  <to>
                    <xdr:col>4</xdr:col>
                    <xdr:colOff>628650</xdr:colOff>
                    <xdr:row>66</xdr:row>
                    <xdr:rowOff>180975</xdr:rowOff>
                  </to>
                </anchor>
              </controlPr>
            </control>
          </mc:Choice>
        </mc:AlternateContent>
        <mc:AlternateContent xmlns:mc="http://schemas.openxmlformats.org/markup-compatibility/2006">
          <mc:Choice Requires="x14">
            <control shapeId="1146" r:id="rId48" name="Option Button 122">
              <controlPr defaultSize="0" autoFill="0" autoLine="0" autoPict="0">
                <anchor moveWithCells="1" sizeWithCells="1">
                  <from>
                    <xdr:col>4</xdr:col>
                    <xdr:colOff>600075</xdr:colOff>
                    <xdr:row>65</xdr:row>
                    <xdr:rowOff>114300</xdr:rowOff>
                  </from>
                  <to>
                    <xdr:col>5</xdr:col>
                    <xdr:colOff>114300</xdr:colOff>
                    <xdr:row>67</xdr:row>
                    <xdr:rowOff>19050</xdr:rowOff>
                  </to>
                </anchor>
              </controlPr>
            </control>
          </mc:Choice>
        </mc:AlternateContent>
        <mc:AlternateContent xmlns:mc="http://schemas.openxmlformats.org/markup-compatibility/2006">
          <mc:Choice Requires="x14">
            <control shapeId="1154" r:id="rId49" name="Group Box 130">
              <controlPr defaultSize="0" autoFill="0" autoPict="0">
                <anchor moveWithCells="1" sizeWithCells="1">
                  <from>
                    <xdr:col>2</xdr:col>
                    <xdr:colOff>66675</xdr:colOff>
                    <xdr:row>56</xdr:row>
                    <xdr:rowOff>57150</xdr:rowOff>
                  </from>
                  <to>
                    <xdr:col>5</xdr:col>
                    <xdr:colOff>619125</xdr:colOff>
                    <xdr:row>57</xdr:row>
                    <xdr:rowOff>85725</xdr:rowOff>
                  </to>
                </anchor>
              </controlPr>
            </control>
          </mc:Choice>
        </mc:AlternateContent>
        <mc:AlternateContent xmlns:mc="http://schemas.openxmlformats.org/markup-compatibility/2006">
          <mc:Choice Requires="x14">
            <control shapeId="1155" r:id="rId50" name="Option Button 131">
              <controlPr defaultSize="0" autoFill="0" autoLine="0" autoPict="0">
                <anchor moveWithCells="1" sizeWithCells="1">
                  <from>
                    <xdr:col>4</xdr:col>
                    <xdr:colOff>123825</xdr:colOff>
                    <xdr:row>56</xdr:row>
                    <xdr:rowOff>123825</xdr:rowOff>
                  </from>
                  <to>
                    <xdr:col>4</xdr:col>
                    <xdr:colOff>561975</xdr:colOff>
                    <xdr:row>57</xdr:row>
                    <xdr:rowOff>57150</xdr:rowOff>
                  </to>
                </anchor>
              </controlPr>
            </control>
          </mc:Choice>
        </mc:AlternateContent>
        <mc:AlternateContent xmlns:mc="http://schemas.openxmlformats.org/markup-compatibility/2006">
          <mc:Choice Requires="x14">
            <control shapeId="1156" r:id="rId51" name="Option Button 132">
              <controlPr defaultSize="0" autoFill="0" autoLine="0" autoPict="0">
                <anchor moveWithCells="1" sizeWithCells="1">
                  <from>
                    <xdr:col>4</xdr:col>
                    <xdr:colOff>714375</xdr:colOff>
                    <xdr:row>56</xdr:row>
                    <xdr:rowOff>95250</xdr:rowOff>
                  </from>
                  <to>
                    <xdr:col>5</xdr:col>
                    <xdr:colOff>228600</xdr:colOff>
                    <xdr:row>57</xdr:row>
                    <xdr:rowOff>95250</xdr:rowOff>
                  </to>
                </anchor>
              </controlPr>
            </control>
          </mc:Choice>
        </mc:AlternateContent>
        <mc:AlternateContent xmlns:mc="http://schemas.openxmlformats.org/markup-compatibility/2006">
          <mc:Choice Requires="x14">
            <control shapeId="1052" r:id="rId52" name="Check Box 28">
              <controlPr defaultSize="0" autoFill="0" autoLine="0" autoPict="0">
                <anchor moveWithCells="1" sizeWithCells="1">
                  <from>
                    <xdr:col>0</xdr:col>
                    <xdr:colOff>1162050</xdr:colOff>
                    <xdr:row>35</xdr:row>
                    <xdr:rowOff>142875</xdr:rowOff>
                  </from>
                  <to>
                    <xdr:col>3</xdr:col>
                    <xdr:colOff>200025</xdr:colOff>
                    <xdr:row>37</xdr:row>
                    <xdr:rowOff>0</xdr:rowOff>
                  </to>
                </anchor>
              </controlPr>
            </control>
          </mc:Choice>
        </mc:AlternateContent>
        <mc:AlternateContent xmlns:mc="http://schemas.openxmlformats.org/markup-compatibility/2006">
          <mc:Choice Requires="x14">
            <control shapeId="1053" r:id="rId53" name="Group Box 29">
              <controlPr defaultSize="0" autoFill="0" autoPict="0">
                <anchor moveWithCells="1" sizeWithCells="1">
                  <from>
                    <xdr:col>0</xdr:col>
                    <xdr:colOff>981075</xdr:colOff>
                    <xdr:row>31</xdr:row>
                    <xdr:rowOff>152400</xdr:rowOff>
                  </from>
                  <to>
                    <xdr:col>9</xdr:col>
                    <xdr:colOff>152400</xdr:colOff>
                    <xdr:row>42</xdr:row>
                    <xdr:rowOff>114300</xdr:rowOff>
                  </to>
                </anchor>
              </controlPr>
            </control>
          </mc:Choice>
        </mc:AlternateContent>
        <mc:AlternateContent xmlns:mc="http://schemas.openxmlformats.org/markup-compatibility/2006">
          <mc:Choice Requires="x14">
            <control shapeId="1054" r:id="rId54" name="Check Box 30">
              <controlPr defaultSize="0" autoFill="0" autoLine="0" autoPict="0">
                <anchor moveWithCells="1" sizeWithCells="1">
                  <from>
                    <xdr:col>0</xdr:col>
                    <xdr:colOff>1162050</xdr:colOff>
                    <xdr:row>32</xdr:row>
                    <xdr:rowOff>171450</xdr:rowOff>
                  </from>
                  <to>
                    <xdr:col>1</xdr:col>
                    <xdr:colOff>1028700</xdr:colOff>
                    <xdr:row>34</xdr:row>
                    <xdr:rowOff>9525</xdr:rowOff>
                  </to>
                </anchor>
              </controlPr>
            </control>
          </mc:Choice>
        </mc:AlternateContent>
        <mc:AlternateContent xmlns:mc="http://schemas.openxmlformats.org/markup-compatibility/2006">
          <mc:Choice Requires="x14">
            <control shapeId="1055" r:id="rId55" name="Check Box 31">
              <controlPr defaultSize="0" autoFill="0" autoLine="0" autoPict="0">
                <anchor moveWithCells="1" sizeWithCells="1">
                  <from>
                    <xdr:col>0</xdr:col>
                    <xdr:colOff>1162050</xdr:colOff>
                    <xdr:row>34</xdr:row>
                    <xdr:rowOff>0</xdr:rowOff>
                  </from>
                  <to>
                    <xdr:col>2</xdr:col>
                    <xdr:colOff>57150</xdr:colOff>
                    <xdr:row>35</xdr:row>
                    <xdr:rowOff>9525</xdr:rowOff>
                  </to>
                </anchor>
              </controlPr>
            </control>
          </mc:Choice>
        </mc:AlternateContent>
        <mc:AlternateContent xmlns:mc="http://schemas.openxmlformats.org/markup-compatibility/2006">
          <mc:Choice Requires="x14">
            <control shapeId="1056" r:id="rId56" name="Check Box 32">
              <controlPr defaultSize="0" autoFill="0" autoLine="0" autoPict="0">
                <anchor moveWithCells="1" sizeWithCells="1">
                  <from>
                    <xdr:col>0</xdr:col>
                    <xdr:colOff>1162050</xdr:colOff>
                    <xdr:row>34</xdr:row>
                    <xdr:rowOff>152400</xdr:rowOff>
                  </from>
                  <to>
                    <xdr:col>2</xdr:col>
                    <xdr:colOff>57150</xdr:colOff>
                    <xdr:row>36</xdr:row>
                    <xdr:rowOff>19050</xdr:rowOff>
                  </to>
                </anchor>
              </controlPr>
            </control>
          </mc:Choice>
        </mc:AlternateContent>
        <mc:AlternateContent xmlns:mc="http://schemas.openxmlformats.org/markup-compatibility/2006">
          <mc:Choice Requires="x14">
            <control shapeId="1057" r:id="rId57" name="Check Box 33">
              <controlPr defaultSize="0" autoFill="0" autoLine="0" autoPict="0">
                <anchor moveWithCells="1" sizeWithCells="1">
                  <from>
                    <xdr:col>0</xdr:col>
                    <xdr:colOff>1162050</xdr:colOff>
                    <xdr:row>36</xdr:row>
                    <xdr:rowOff>142875</xdr:rowOff>
                  </from>
                  <to>
                    <xdr:col>2</xdr:col>
                    <xdr:colOff>57150</xdr:colOff>
                    <xdr:row>37</xdr:row>
                    <xdr:rowOff>152400</xdr:rowOff>
                  </to>
                </anchor>
              </controlPr>
            </control>
          </mc:Choice>
        </mc:AlternateContent>
        <mc:AlternateContent xmlns:mc="http://schemas.openxmlformats.org/markup-compatibility/2006">
          <mc:Choice Requires="x14">
            <control shapeId="1058" r:id="rId58" name="Check Box 34">
              <controlPr defaultSize="0" autoFill="0" autoLine="0" autoPict="0">
                <anchor moveWithCells="1" sizeWithCells="1">
                  <from>
                    <xdr:col>0</xdr:col>
                    <xdr:colOff>1162050</xdr:colOff>
                    <xdr:row>37</xdr:row>
                    <xdr:rowOff>123825</xdr:rowOff>
                  </from>
                  <to>
                    <xdr:col>2</xdr:col>
                    <xdr:colOff>57150</xdr:colOff>
                    <xdr:row>38</xdr:row>
                    <xdr:rowOff>142875</xdr:rowOff>
                  </to>
                </anchor>
              </controlPr>
            </control>
          </mc:Choice>
        </mc:AlternateContent>
        <mc:AlternateContent xmlns:mc="http://schemas.openxmlformats.org/markup-compatibility/2006">
          <mc:Choice Requires="x14">
            <control shapeId="1059" r:id="rId59" name="Check Box 35">
              <controlPr defaultSize="0" autoFill="0" autoLine="0" autoPict="0">
                <anchor moveWithCells="1" sizeWithCells="1">
                  <from>
                    <xdr:col>0</xdr:col>
                    <xdr:colOff>1162050</xdr:colOff>
                    <xdr:row>38</xdr:row>
                    <xdr:rowOff>114300</xdr:rowOff>
                  </from>
                  <to>
                    <xdr:col>2</xdr:col>
                    <xdr:colOff>57150</xdr:colOff>
                    <xdr:row>39</xdr:row>
                    <xdr:rowOff>133350</xdr:rowOff>
                  </to>
                </anchor>
              </controlPr>
            </control>
          </mc:Choice>
        </mc:AlternateContent>
        <mc:AlternateContent xmlns:mc="http://schemas.openxmlformats.org/markup-compatibility/2006">
          <mc:Choice Requires="x14">
            <control shapeId="1060" r:id="rId60" name="Check Box 36">
              <controlPr defaultSize="0" autoFill="0" autoLine="0" autoPict="0">
                <anchor moveWithCells="1" sizeWithCells="1">
                  <from>
                    <xdr:col>0</xdr:col>
                    <xdr:colOff>1162050</xdr:colOff>
                    <xdr:row>39</xdr:row>
                    <xdr:rowOff>104775</xdr:rowOff>
                  </from>
                  <to>
                    <xdr:col>2</xdr:col>
                    <xdr:colOff>57150</xdr:colOff>
                    <xdr:row>40</xdr:row>
                    <xdr:rowOff>123825</xdr:rowOff>
                  </to>
                </anchor>
              </controlPr>
            </control>
          </mc:Choice>
        </mc:AlternateContent>
        <mc:AlternateContent xmlns:mc="http://schemas.openxmlformats.org/markup-compatibility/2006">
          <mc:Choice Requires="x14">
            <control shapeId="1183" r:id="rId61" name="Check Box 159">
              <controlPr defaultSize="0" autoFill="0" autoLine="0" autoPict="0">
                <anchor moveWithCells="1" sizeWithCells="1">
                  <from>
                    <xdr:col>0</xdr:col>
                    <xdr:colOff>1162050</xdr:colOff>
                    <xdr:row>40</xdr:row>
                    <xdr:rowOff>47625</xdr:rowOff>
                  </from>
                  <to>
                    <xdr:col>2</xdr:col>
                    <xdr:colOff>57150</xdr:colOff>
                    <xdr:row>42</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tint="0.39997558519241921"/>
  </sheetPr>
  <dimension ref="A1:V76"/>
  <sheetViews>
    <sheetView showGridLines="0" topLeftCell="A7" zoomScale="90" zoomScaleNormal="90" workbookViewId="0">
      <selection activeCell="F10" sqref="F10"/>
    </sheetView>
  </sheetViews>
  <sheetFormatPr defaultRowHeight="12"/>
  <cols>
    <col min="1" max="2" width="17.7109375" style="37" customWidth="1"/>
    <col min="3" max="3" width="23.140625" style="37" customWidth="1"/>
    <col min="4" max="4" width="16.5703125" style="38" customWidth="1"/>
    <col min="5" max="5" width="17" style="37" customWidth="1"/>
    <col min="6" max="6" width="12.28515625" style="37" customWidth="1"/>
    <col min="7" max="7" width="12.42578125" style="37" customWidth="1"/>
    <col min="8" max="8" width="1.140625" style="37" customWidth="1"/>
    <col min="9" max="9" width="3.7109375" style="37" customWidth="1"/>
    <col min="10" max="10" width="2.140625" style="37" customWidth="1"/>
    <col min="11" max="11" width="1.85546875" style="37" customWidth="1"/>
    <col min="12" max="13" width="9.140625" style="37"/>
    <col min="14" max="17" width="6.7109375" style="37" customWidth="1"/>
    <col min="18" max="16384" width="9.140625" style="37"/>
  </cols>
  <sheetData>
    <row r="1" spans="1:22" s="40" customFormat="1" ht="16.5" customHeight="1">
      <c r="A1" s="719" t="s">
        <v>536</v>
      </c>
      <c r="B1" s="720"/>
      <c r="C1" s="720"/>
      <c r="D1" s="720"/>
      <c r="E1" s="603" t="s">
        <v>809</v>
      </c>
      <c r="F1" s="733">
        <f>'Site Evaluation'!J1</f>
        <v>2345</v>
      </c>
      <c r="G1" s="733"/>
      <c r="H1" s="733"/>
      <c r="I1" s="733"/>
      <c r="J1" s="604"/>
      <c r="R1" s="41"/>
      <c r="S1" s="42"/>
      <c r="T1" s="39"/>
      <c r="V1" s="41"/>
    </row>
    <row r="2" spans="1:22" s="40" customFormat="1" ht="15.75" customHeight="1">
      <c r="A2" s="721"/>
      <c r="B2" s="722"/>
      <c r="C2" s="722"/>
      <c r="D2" s="722"/>
      <c r="E2" s="605" t="s">
        <v>803</v>
      </c>
      <c r="F2" s="723" t="str">
        <f>IF(ISBLANK('Site Evaluation'!B6),"",'Site Evaluation'!B6)</f>
        <v/>
      </c>
      <c r="G2" s="723"/>
      <c r="H2" s="723"/>
      <c r="I2" s="723"/>
      <c r="J2" s="724"/>
      <c r="R2" s="41"/>
      <c r="S2" s="115"/>
      <c r="T2" s="39"/>
      <c r="V2" s="41"/>
    </row>
    <row r="3" spans="1:22" s="40" customFormat="1" ht="12.75" customHeight="1">
      <c r="A3" s="219"/>
      <c r="B3" s="219"/>
      <c r="C3" s="219"/>
      <c r="D3" s="219"/>
      <c r="E3" s="220"/>
      <c r="F3" s="220"/>
      <c r="G3" s="219"/>
      <c r="H3" s="219"/>
      <c r="I3" s="219"/>
      <c r="J3" s="219"/>
      <c r="N3" s="116"/>
      <c r="R3" s="41"/>
      <c r="S3" s="115"/>
      <c r="T3" s="39"/>
      <c r="V3" s="41"/>
    </row>
    <row r="4" spans="1:22" s="40" customFormat="1" ht="18" customHeight="1">
      <c r="A4" s="221" t="s">
        <v>342</v>
      </c>
      <c r="B4" s="221"/>
      <c r="C4" s="222"/>
      <c r="D4" s="222"/>
      <c r="E4" s="220"/>
      <c r="F4" s="220"/>
      <c r="G4" s="219"/>
      <c r="H4" s="219"/>
      <c r="I4" s="219"/>
      <c r="J4" s="219"/>
      <c r="N4" s="116"/>
      <c r="R4" s="41"/>
      <c r="S4" s="115"/>
      <c r="T4" s="39"/>
      <c r="V4" s="41"/>
    </row>
    <row r="5" spans="1:22" s="40" customFormat="1" ht="7.5" customHeight="1">
      <c r="A5" s="219"/>
      <c r="B5" s="219"/>
      <c r="C5" s="220"/>
      <c r="D5" s="220"/>
      <c r="E5" s="220"/>
      <c r="F5" s="220"/>
      <c r="G5" s="219"/>
      <c r="H5" s="219"/>
      <c r="I5" s="219"/>
      <c r="J5" s="219"/>
      <c r="N5" s="116"/>
      <c r="R5" s="41"/>
      <c r="S5" s="115"/>
      <c r="T5" s="39"/>
      <c r="V5" s="41"/>
    </row>
    <row r="6" spans="1:22" s="40" customFormat="1" ht="18.75" customHeight="1">
      <c r="A6" s="219" t="s">
        <v>537</v>
      </c>
      <c r="B6" s="219"/>
      <c r="C6" s="731"/>
      <c r="D6" s="732"/>
      <c r="E6" s="219"/>
      <c r="F6" s="219"/>
      <c r="G6" s="219"/>
      <c r="H6" s="219"/>
      <c r="I6" s="219"/>
      <c r="J6" s="219"/>
      <c r="N6" s="116"/>
      <c r="R6" s="41"/>
      <c r="S6" s="115"/>
      <c r="T6" s="39"/>
      <c r="V6" s="41"/>
    </row>
    <row r="7" spans="1:22" s="40" customFormat="1" ht="11.25" customHeight="1">
      <c r="A7" s="219"/>
      <c r="B7" s="219"/>
      <c r="C7" s="219"/>
      <c r="D7" s="219"/>
      <c r="E7" s="219"/>
      <c r="F7" s="219"/>
      <c r="G7" s="219"/>
      <c r="H7" s="219"/>
      <c r="I7" s="219"/>
      <c r="J7" s="219"/>
      <c r="N7" s="116"/>
      <c r="R7" s="41"/>
      <c r="S7" s="115"/>
      <c r="T7" s="39"/>
      <c r="V7" s="41"/>
    </row>
    <row r="8" spans="1:22" s="40" customFormat="1" ht="15" customHeight="1">
      <c r="A8" s="223" t="s">
        <v>816</v>
      </c>
      <c r="B8" s="616"/>
      <c r="C8" s="224" t="s">
        <v>338</v>
      </c>
      <c r="D8" s="729"/>
      <c r="E8" s="729"/>
      <c r="F8" s="225" t="s">
        <v>337</v>
      </c>
      <c r="G8" s="729"/>
      <c r="H8" s="729"/>
      <c r="I8" s="729"/>
      <c r="J8" s="730"/>
      <c r="N8" s="116"/>
      <c r="R8" s="41"/>
      <c r="T8" s="39"/>
      <c r="V8" s="41"/>
    </row>
    <row r="9" spans="1:22" s="40" customFormat="1" ht="31.5" customHeight="1">
      <c r="A9" s="226" t="s">
        <v>535</v>
      </c>
      <c r="B9" s="226" t="s">
        <v>819</v>
      </c>
      <c r="C9" s="227" t="s">
        <v>126</v>
      </c>
      <c r="D9" s="228" t="s">
        <v>336</v>
      </c>
      <c r="E9" s="227" t="s">
        <v>530</v>
      </c>
      <c r="F9" s="227" t="s">
        <v>335</v>
      </c>
      <c r="G9" s="726" t="s">
        <v>334</v>
      </c>
      <c r="H9" s="727"/>
      <c r="I9" s="727"/>
      <c r="J9" s="728"/>
      <c r="N9" s="116"/>
      <c r="R9" s="41"/>
    </row>
    <row r="10" spans="1:22" s="40" customFormat="1" ht="25.5" customHeight="1">
      <c r="A10" s="229"/>
      <c r="B10" s="229"/>
      <c r="C10" s="230"/>
      <c r="D10" s="231"/>
      <c r="E10" s="232"/>
      <c r="F10" s="232"/>
      <c r="G10" s="725"/>
      <c r="H10" s="725"/>
      <c r="I10" s="725"/>
      <c r="J10" s="725"/>
      <c r="N10" s="116"/>
      <c r="R10" s="41"/>
    </row>
    <row r="11" spans="1:22" s="40" customFormat="1" ht="25.5" customHeight="1">
      <c r="A11" s="229"/>
      <c r="B11" s="229"/>
      <c r="C11" s="230"/>
      <c r="D11" s="231"/>
      <c r="E11" s="232"/>
      <c r="F11" s="232"/>
      <c r="G11" s="725"/>
      <c r="H11" s="725"/>
      <c r="I11" s="725"/>
      <c r="J11" s="725"/>
      <c r="N11" s="116"/>
      <c r="R11" s="41"/>
    </row>
    <row r="12" spans="1:22" s="40" customFormat="1" ht="25.5" customHeight="1">
      <c r="A12" s="229"/>
      <c r="B12" s="229"/>
      <c r="C12" s="230"/>
      <c r="D12" s="231"/>
      <c r="E12" s="232"/>
      <c r="F12" s="232"/>
      <c r="G12" s="725"/>
      <c r="H12" s="725"/>
      <c r="I12" s="725"/>
      <c r="J12" s="725"/>
      <c r="N12" s="116"/>
    </row>
    <row r="13" spans="1:22" s="40" customFormat="1" ht="25.5" customHeight="1">
      <c r="A13" s="229"/>
      <c r="B13" s="229"/>
      <c r="C13" s="230"/>
      <c r="D13" s="231"/>
      <c r="E13" s="232"/>
      <c r="F13" s="232"/>
      <c r="G13" s="725"/>
      <c r="H13" s="725"/>
      <c r="I13" s="725"/>
      <c r="J13" s="725"/>
      <c r="N13" s="116"/>
    </row>
    <row r="14" spans="1:22" ht="25.5" customHeight="1">
      <c r="A14" s="229"/>
      <c r="B14" s="229"/>
      <c r="C14" s="230"/>
      <c r="D14" s="231"/>
      <c r="E14" s="232"/>
      <c r="F14" s="232"/>
      <c r="G14" s="725"/>
      <c r="H14" s="725"/>
      <c r="I14" s="725"/>
      <c r="J14" s="725"/>
      <c r="K14" s="40"/>
      <c r="L14" s="40"/>
      <c r="M14" s="40"/>
      <c r="N14" s="116"/>
      <c r="O14" s="40"/>
      <c r="P14" s="40"/>
      <c r="Q14" s="40"/>
    </row>
    <row r="15" spans="1:22" ht="25.5" customHeight="1">
      <c r="A15" s="233"/>
      <c r="B15" s="233"/>
      <c r="C15" s="234"/>
      <c r="D15" s="235"/>
      <c r="E15" s="234"/>
      <c r="F15" s="234"/>
      <c r="G15" s="233"/>
      <c r="H15" s="233"/>
      <c r="I15" s="233"/>
      <c r="J15" s="233"/>
    </row>
    <row r="16" spans="1:22" ht="15" customHeight="1">
      <c r="A16" s="223" t="s">
        <v>817</v>
      </c>
      <c r="B16" s="616"/>
      <c r="C16" s="224" t="s">
        <v>338</v>
      </c>
      <c r="D16" s="729"/>
      <c r="E16" s="729"/>
      <c r="F16" s="225" t="s">
        <v>337</v>
      </c>
      <c r="G16" s="729"/>
      <c r="H16" s="729"/>
      <c r="I16" s="729"/>
      <c r="J16" s="730"/>
    </row>
    <row r="17" spans="1:10" ht="36" customHeight="1">
      <c r="A17" s="226" t="s">
        <v>535</v>
      </c>
      <c r="B17" s="226" t="s">
        <v>819</v>
      </c>
      <c r="C17" s="227" t="s">
        <v>126</v>
      </c>
      <c r="D17" s="228" t="s">
        <v>336</v>
      </c>
      <c r="E17" s="227" t="s">
        <v>530</v>
      </c>
      <c r="F17" s="227" t="s">
        <v>335</v>
      </c>
      <c r="G17" s="726" t="s">
        <v>334</v>
      </c>
      <c r="H17" s="727"/>
      <c r="I17" s="727"/>
      <c r="J17" s="728"/>
    </row>
    <row r="18" spans="1:10" ht="25.5" customHeight="1">
      <c r="A18" s="229"/>
      <c r="B18" s="229"/>
      <c r="C18" s="230"/>
      <c r="D18" s="231"/>
      <c r="E18" s="232"/>
      <c r="F18" s="232"/>
      <c r="G18" s="725"/>
      <c r="H18" s="725"/>
      <c r="I18" s="725"/>
      <c r="J18" s="725"/>
    </row>
    <row r="19" spans="1:10" ht="25.5" customHeight="1">
      <c r="A19" s="229"/>
      <c r="B19" s="229"/>
      <c r="C19" s="230"/>
      <c r="D19" s="231"/>
      <c r="E19" s="232"/>
      <c r="F19" s="232"/>
      <c r="G19" s="725"/>
      <c r="H19" s="725"/>
      <c r="I19" s="725"/>
      <c r="J19" s="725"/>
    </row>
    <row r="20" spans="1:10" ht="25.5" customHeight="1">
      <c r="A20" s="229"/>
      <c r="B20" s="229"/>
      <c r="C20" s="230"/>
      <c r="D20" s="231"/>
      <c r="E20" s="232"/>
      <c r="F20" s="232"/>
      <c r="G20" s="725"/>
      <c r="H20" s="725"/>
      <c r="I20" s="725"/>
      <c r="J20" s="725"/>
    </row>
    <row r="21" spans="1:10" ht="25.5" customHeight="1">
      <c r="A21" s="229"/>
      <c r="B21" s="229"/>
      <c r="C21" s="230"/>
      <c r="D21" s="231"/>
      <c r="E21" s="232"/>
      <c r="F21" s="232"/>
      <c r="G21" s="725"/>
      <c r="H21" s="725"/>
      <c r="I21" s="725"/>
      <c r="J21" s="725"/>
    </row>
    <row r="22" spans="1:10" ht="25.5" customHeight="1">
      <c r="A22" s="229"/>
      <c r="B22" s="229"/>
      <c r="C22" s="230"/>
      <c r="D22" s="231"/>
      <c r="E22" s="232"/>
      <c r="F22" s="232"/>
      <c r="G22" s="725"/>
      <c r="H22" s="725"/>
      <c r="I22" s="725"/>
      <c r="J22" s="725"/>
    </row>
    <row r="23" spans="1:10" ht="25.5" customHeight="1">
      <c r="C23" s="38"/>
      <c r="E23" s="38"/>
      <c r="F23" s="38"/>
    </row>
    <row r="24" spans="1:10" ht="25.5" customHeight="1">
      <c r="A24" s="223" t="s">
        <v>818</v>
      </c>
      <c r="B24" s="616"/>
      <c r="C24" s="224" t="s">
        <v>338</v>
      </c>
      <c r="D24" s="729"/>
      <c r="E24" s="729"/>
      <c r="F24" s="225" t="s">
        <v>337</v>
      </c>
      <c r="G24" s="729"/>
      <c r="H24" s="729"/>
      <c r="I24" s="729"/>
      <c r="J24" s="730"/>
    </row>
    <row r="25" spans="1:10" ht="33" customHeight="1">
      <c r="A25" s="226" t="s">
        <v>535</v>
      </c>
      <c r="B25" s="226" t="s">
        <v>819</v>
      </c>
      <c r="C25" s="227" t="s">
        <v>126</v>
      </c>
      <c r="D25" s="522" t="s">
        <v>336</v>
      </c>
      <c r="E25" s="227" t="s">
        <v>530</v>
      </c>
      <c r="F25" s="227" t="s">
        <v>335</v>
      </c>
      <c r="G25" s="726" t="s">
        <v>334</v>
      </c>
      <c r="H25" s="727"/>
      <c r="I25" s="727"/>
      <c r="J25" s="728"/>
    </row>
    <row r="26" spans="1:10" ht="25.5" customHeight="1">
      <c r="A26" s="229"/>
      <c r="B26" s="229"/>
      <c r="C26" s="230"/>
      <c r="D26" s="231"/>
      <c r="E26" s="523"/>
      <c r="F26" s="523"/>
      <c r="G26" s="725"/>
      <c r="H26" s="725"/>
      <c r="I26" s="725"/>
      <c r="J26" s="725"/>
    </row>
    <row r="27" spans="1:10" ht="25.5" customHeight="1">
      <c r="A27" s="229"/>
      <c r="B27" s="229"/>
      <c r="C27" s="230"/>
      <c r="D27" s="231"/>
      <c r="E27" s="523"/>
      <c r="F27" s="523"/>
      <c r="G27" s="725"/>
      <c r="H27" s="725"/>
      <c r="I27" s="725"/>
      <c r="J27" s="725"/>
    </row>
    <row r="28" spans="1:10" ht="25.5" customHeight="1">
      <c r="A28" s="229"/>
      <c r="B28" s="229"/>
      <c r="C28" s="230"/>
      <c r="D28" s="231"/>
      <c r="E28" s="523"/>
      <c r="F28" s="523"/>
      <c r="G28" s="725"/>
      <c r="H28" s="725"/>
      <c r="I28" s="725"/>
      <c r="J28" s="725"/>
    </row>
    <row r="29" spans="1:10" ht="25.5" customHeight="1">
      <c r="A29" s="229"/>
      <c r="B29" s="229"/>
      <c r="C29" s="230"/>
      <c r="D29" s="231"/>
      <c r="E29" s="523"/>
      <c r="F29" s="523"/>
      <c r="G29" s="725"/>
      <c r="H29" s="725"/>
      <c r="I29" s="725"/>
      <c r="J29" s="725"/>
    </row>
    <row r="30" spans="1:10" ht="25.5" customHeight="1">
      <c r="A30" s="229"/>
      <c r="B30" s="229"/>
      <c r="C30" s="230"/>
      <c r="D30" s="231"/>
      <c r="E30" s="523"/>
      <c r="F30" s="523"/>
      <c r="G30" s="725"/>
      <c r="H30" s="725"/>
      <c r="I30" s="725"/>
      <c r="J30" s="725"/>
    </row>
    <row r="31" spans="1:10" ht="25.5" customHeight="1">
      <c r="C31" s="38"/>
      <c r="E31" s="38"/>
      <c r="F31" s="38"/>
    </row>
    <row r="32" spans="1:10" ht="25.5" customHeight="1">
      <c r="C32" s="38"/>
      <c r="E32" s="38"/>
      <c r="F32" s="38"/>
    </row>
    <row r="33" spans="3:6" ht="25.5" customHeight="1">
      <c r="C33" s="38"/>
      <c r="E33" s="38"/>
      <c r="F33" s="38"/>
    </row>
    <row r="34" spans="3:6" ht="25.5" customHeight="1">
      <c r="C34" s="38"/>
      <c r="E34" s="38"/>
      <c r="F34" s="38"/>
    </row>
    <row r="35" spans="3:6" ht="25.5" customHeight="1">
      <c r="C35" s="38"/>
      <c r="E35" s="38"/>
      <c r="F35" s="38"/>
    </row>
    <row r="36" spans="3:6" ht="25.5" customHeight="1">
      <c r="C36" s="38"/>
      <c r="E36" s="38"/>
      <c r="F36" s="38"/>
    </row>
    <row r="37" spans="3:6" ht="25.5" customHeight="1">
      <c r="C37" s="38"/>
      <c r="E37" s="38"/>
      <c r="F37" s="38"/>
    </row>
    <row r="38" spans="3:6" ht="25.5" customHeight="1">
      <c r="C38" s="38"/>
      <c r="E38" s="38"/>
      <c r="F38" s="38"/>
    </row>
    <row r="39" spans="3:6" ht="25.5" customHeight="1">
      <c r="C39" s="38"/>
      <c r="E39" s="38"/>
      <c r="F39" s="38"/>
    </row>
    <row r="40" spans="3:6" ht="25.5" customHeight="1">
      <c r="C40" s="38"/>
      <c r="E40" s="38"/>
      <c r="F40" s="38"/>
    </row>
    <row r="41" spans="3:6" ht="25.5" customHeight="1">
      <c r="C41" s="38"/>
      <c r="E41" s="38"/>
      <c r="F41" s="38"/>
    </row>
    <row r="42" spans="3:6" ht="25.5" customHeight="1">
      <c r="C42" s="38"/>
      <c r="E42" s="38"/>
      <c r="F42" s="38"/>
    </row>
    <row r="43" spans="3:6" ht="25.5" customHeight="1">
      <c r="C43" s="38"/>
      <c r="E43" s="38"/>
      <c r="F43" s="38"/>
    </row>
    <row r="44" spans="3:6" ht="25.5" customHeight="1">
      <c r="C44" s="38"/>
      <c r="E44" s="38"/>
      <c r="F44" s="38"/>
    </row>
    <row r="45" spans="3:6" ht="25.5" customHeight="1">
      <c r="C45" s="38"/>
      <c r="E45" s="38"/>
      <c r="F45" s="38"/>
    </row>
    <row r="46" spans="3:6" ht="25.5" customHeight="1">
      <c r="C46" s="38"/>
      <c r="E46" s="38"/>
      <c r="F46" s="38"/>
    </row>
    <row r="47" spans="3:6" ht="25.5" customHeight="1">
      <c r="C47" s="38"/>
      <c r="E47" s="38"/>
      <c r="F47" s="38"/>
    </row>
    <row r="48" spans="3:6" ht="25.5" customHeight="1">
      <c r="C48" s="38"/>
      <c r="E48" s="38"/>
      <c r="F48" s="38"/>
    </row>
    <row r="49" spans="3:6" ht="25.5" customHeight="1">
      <c r="C49" s="38"/>
      <c r="E49" s="38"/>
      <c r="F49" s="38"/>
    </row>
    <row r="50" spans="3:6" ht="25.5" customHeight="1">
      <c r="C50" s="38"/>
      <c r="E50" s="38"/>
      <c r="F50" s="38"/>
    </row>
    <row r="51" spans="3:6" ht="25.5" customHeight="1">
      <c r="C51" s="38"/>
      <c r="E51" s="38"/>
      <c r="F51" s="38"/>
    </row>
    <row r="52" spans="3:6" ht="25.5" customHeight="1">
      <c r="C52" s="38"/>
      <c r="E52" s="38"/>
      <c r="F52" s="38"/>
    </row>
    <row r="53" spans="3:6" ht="25.5" customHeight="1">
      <c r="C53" s="38"/>
      <c r="E53" s="38"/>
      <c r="F53" s="38"/>
    </row>
    <row r="54" spans="3:6" ht="25.5" customHeight="1">
      <c r="C54" s="38"/>
      <c r="E54" s="38"/>
      <c r="F54" s="38"/>
    </row>
    <row r="55" spans="3:6">
      <c r="C55" s="38"/>
      <c r="E55" s="38"/>
      <c r="F55" s="38"/>
    </row>
    <row r="56" spans="3:6">
      <c r="C56" s="38"/>
      <c r="E56" s="38"/>
      <c r="F56" s="38"/>
    </row>
    <row r="57" spans="3:6">
      <c r="C57" s="38"/>
      <c r="E57" s="38"/>
      <c r="F57" s="38"/>
    </row>
    <row r="58" spans="3:6">
      <c r="C58" s="38"/>
      <c r="E58" s="38"/>
      <c r="F58" s="38"/>
    </row>
    <row r="59" spans="3:6">
      <c r="C59" s="38"/>
      <c r="E59" s="38"/>
      <c r="F59" s="38"/>
    </row>
    <row r="60" spans="3:6">
      <c r="C60" s="38"/>
      <c r="E60" s="38"/>
      <c r="F60" s="38"/>
    </row>
    <row r="61" spans="3:6">
      <c r="C61" s="38"/>
      <c r="E61" s="38"/>
      <c r="F61" s="38"/>
    </row>
    <row r="62" spans="3:6">
      <c r="C62" s="38"/>
      <c r="E62" s="38"/>
      <c r="F62" s="38"/>
    </row>
    <row r="63" spans="3:6">
      <c r="C63" s="38"/>
      <c r="E63" s="38"/>
      <c r="F63" s="38"/>
    </row>
    <row r="64" spans="3:6">
      <c r="C64" s="38"/>
      <c r="E64" s="38"/>
      <c r="F64" s="38"/>
    </row>
    <row r="65" spans="3:6">
      <c r="C65" s="38"/>
      <c r="E65" s="38"/>
      <c r="F65" s="38"/>
    </row>
    <row r="66" spans="3:6">
      <c r="C66" s="38"/>
      <c r="E66" s="38"/>
      <c r="F66" s="38"/>
    </row>
    <row r="67" spans="3:6">
      <c r="C67" s="38"/>
      <c r="E67" s="38"/>
      <c r="F67" s="38"/>
    </row>
    <row r="68" spans="3:6">
      <c r="C68" s="38"/>
      <c r="E68" s="38"/>
      <c r="F68" s="38"/>
    </row>
    <row r="69" spans="3:6">
      <c r="C69" s="38"/>
      <c r="E69" s="38"/>
      <c r="F69" s="38"/>
    </row>
    <row r="70" spans="3:6">
      <c r="C70" s="38"/>
      <c r="E70" s="38"/>
      <c r="F70" s="38"/>
    </row>
    <row r="71" spans="3:6">
      <c r="C71" s="38"/>
      <c r="E71" s="38"/>
      <c r="F71" s="38"/>
    </row>
    <row r="72" spans="3:6">
      <c r="C72" s="38"/>
      <c r="E72" s="38"/>
      <c r="F72" s="38"/>
    </row>
    <row r="73" spans="3:6">
      <c r="C73" s="38"/>
      <c r="E73" s="38"/>
      <c r="F73" s="38"/>
    </row>
    <row r="74" spans="3:6">
      <c r="C74" s="38"/>
      <c r="E74" s="38"/>
      <c r="F74" s="38"/>
    </row>
    <row r="75" spans="3:6">
      <c r="C75" s="38"/>
      <c r="E75" s="38"/>
      <c r="F75" s="38"/>
    </row>
    <row r="76" spans="3:6">
      <c r="C76" s="38"/>
      <c r="E76" s="38"/>
      <c r="F76" s="38"/>
    </row>
  </sheetData>
  <sheetProtection password="C420" sheet="1" objects="1" scenarios="1"/>
  <mergeCells count="28">
    <mergeCell ref="F1:I1"/>
    <mergeCell ref="G9:J9"/>
    <mergeCell ref="G10:J10"/>
    <mergeCell ref="G11:J11"/>
    <mergeCell ref="G12:J12"/>
    <mergeCell ref="G20:J20"/>
    <mergeCell ref="C6:D6"/>
    <mergeCell ref="D8:E8"/>
    <mergeCell ref="D16:E16"/>
    <mergeCell ref="G16:J16"/>
    <mergeCell ref="G13:J13"/>
    <mergeCell ref="G14:J14"/>
    <mergeCell ref="A1:D2"/>
    <mergeCell ref="F2:J2"/>
    <mergeCell ref="G30:J30"/>
    <mergeCell ref="G25:J25"/>
    <mergeCell ref="G26:J26"/>
    <mergeCell ref="G27:J27"/>
    <mergeCell ref="G28:J28"/>
    <mergeCell ref="G29:J29"/>
    <mergeCell ref="G8:J8"/>
    <mergeCell ref="D24:E24"/>
    <mergeCell ref="G24:J24"/>
    <mergeCell ref="G22:J22"/>
    <mergeCell ref="G21:J21"/>
    <mergeCell ref="G17:J17"/>
    <mergeCell ref="G18:J18"/>
    <mergeCell ref="G19:J19"/>
  </mergeCells>
  <pageMargins left="0.75" right="0.75" top="0.5" bottom="0.5" header="0.5" footer="0.5"/>
  <pageSetup scale="70" orientation="portrait" r:id="rId1"/>
  <headerFooter alignWithMargins="0">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39997558519241921"/>
  </sheetPr>
  <dimension ref="A1:AL74"/>
  <sheetViews>
    <sheetView showGridLines="0" showRuler="0" topLeftCell="A13" zoomScaleNormal="100" workbookViewId="0">
      <selection activeCell="AN33" sqref="AN33"/>
    </sheetView>
  </sheetViews>
  <sheetFormatPr defaultColWidth="11.42578125" defaultRowHeight="12"/>
  <cols>
    <col min="1" max="8" width="2.7109375" style="37" customWidth="1"/>
    <col min="9" max="9" width="3.5703125" style="37" customWidth="1"/>
    <col min="10" max="16" width="2.7109375" style="37" customWidth="1"/>
    <col min="17" max="17" width="3.7109375" style="37" bestFit="1" customWidth="1"/>
    <col min="18" max="21" width="2.7109375" style="37" customWidth="1"/>
    <col min="22" max="22" width="3.5703125" style="37" customWidth="1"/>
    <col min="23" max="37" width="2.7109375" style="37" customWidth="1"/>
    <col min="38" max="16384" width="11.42578125" style="37"/>
  </cols>
  <sheetData>
    <row r="1" spans="1:37" ht="25.5">
      <c r="A1" s="738" t="s">
        <v>588</v>
      </c>
      <c r="B1" s="739"/>
      <c r="C1" s="739"/>
      <c r="D1" s="739"/>
      <c r="E1" s="739"/>
      <c r="F1" s="739"/>
      <c r="G1" s="739"/>
      <c r="H1" s="739"/>
      <c r="I1" s="739"/>
      <c r="J1" s="739"/>
      <c r="K1" s="739"/>
      <c r="L1" s="739"/>
      <c r="M1" s="739"/>
      <c r="N1" s="739"/>
      <c r="O1" s="739"/>
      <c r="P1" s="739"/>
      <c r="Q1" s="739"/>
      <c r="R1" s="739"/>
      <c r="S1" s="739"/>
      <c r="T1" s="739"/>
      <c r="U1" s="739"/>
      <c r="V1" s="739"/>
      <c r="W1" s="739"/>
      <c r="X1" s="739"/>
      <c r="Y1" s="739"/>
      <c r="Z1" s="739"/>
      <c r="AA1" s="739"/>
      <c r="AB1" s="739"/>
      <c r="AC1" s="739"/>
      <c r="AD1" s="739"/>
      <c r="AE1" s="739"/>
      <c r="AF1" s="739"/>
      <c r="AG1" s="739"/>
      <c r="AH1" s="739"/>
      <c r="AI1" s="739"/>
      <c r="AJ1" s="739"/>
      <c r="AK1" s="740"/>
    </row>
    <row r="2" spans="1:37" ht="12.75" thickBot="1">
      <c r="A2" s="233"/>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row>
    <row r="3" spans="1:37" ht="13.5" customHeight="1">
      <c r="A3" s="578"/>
      <c r="B3" s="579"/>
      <c r="C3" s="579"/>
      <c r="D3" s="579"/>
      <c r="E3" s="579"/>
      <c r="F3" s="579"/>
      <c r="G3" s="579"/>
      <c r="H3" s="579"/>
      <c r="I3" s="579"/>
      <c r="J3" s="579"/>
      <c r="K3" s="579"/>
      <c r="L3" s="579"/>
      <c r="M3" s="579"/>
      <c r="N3" s="579"/>
      <c r="O3" s="579"/>
      <c r="P3" s="579"/>
      <c r="Q3" s="579"/>
      <c r="R3" s="579"/>
      <c r="S3" s="579"/>
      <c r="T3" s="579"/>
      <c r="U3" s="579"/>
      <c r="V3" s="579"/>
      <c r="W3" s="579"/>
      <c r="X3" s="579"/>
      <c r="Y3" s="579"/>
      <c r="Z3" s="579"/>
      <c r="AA3" s="579"/>
      <c r="AB3" s="579"/>
      <c r="AC3" s="579"/>
      <c r="AD3" s="579"/>
      <c r="AE3" s="579"/>
      <c r="AF3" s="579"/>
      <c r="AG3" s="579"/>
      <c r="AH3" s="579"/>
      <c r="AI3" s="579"/>
      <c r="AJ3" s="579"/>
      <c r="AK3" s="580"/>
    </row>
    <row r="4" spans="1:37" ht="13.5" customHeight="1">
      <c r="A4" s="581"/>
      <c r="B4" s="577"/>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82"/>
    </row>
    <row r="5" spans="1:37" ht="13.5" customHeight="1">
      <c r="A5" s="581"/>
      <c r="B5" s="577"/>
      <c r="C5" s="577"/>
      <c r="D5" s="577"/>
      <c r="E5" s="577"/>
      <c r="F5" s="577"/>
      <c r="G5" s="577"/>
      <c r="H5" s="577"/>
      <c r="I5" s="577"/>
      <c r="J5" s="577"/>
      <c r="K5" s="577"/>
      <c r="L5" s="577"/>
      <c r="M5" s="577"/>
      <c r="N5" s="577"/>
      <c r="O5" s="577"/>
      <c r="P5" s="577"/>
      <c r="Q5" s="577"/>
      <c r="R5" s="577"/>
      <c r="S5" s="577"/>
      <c r="T5" s="577"/>
      <c r="U5" s="577"/>
      <c r="V5" s="577"/>
      <c r="W5" s="577"/>
      <c r="X5" s="577"/>
      <c r="Y5" s="577"/>
      <c r="Z5" s="577"/>
      <c r="AA5" s="577"/>
      <c r="AB5" s="577"/>
      <c r="AC5" s="577"/>
      <c r="AD5" s="577"/>
      <c r="AE5" s="577"/>
      <c r="AF5" s="577"/>
      <c r="AG5" s="577"/>
      <c r="AH5" s="577"/>
      <c r="AI5" s="577"/>
      <c r="AJ5" s="577"/>
      <c r="AK5" s="582"/>
    </row>
    <row r="6" spans="1:37" ht="13.5" customHeight="1">
      <c r="A6" s="581"/>
      <c r="B6" s="577"/>
      <c r="C6" s="577"/>
      <c r="D6" s="577"/>
      <c r="E6" s="577"/>
      <c r="F6" s="577"/>
      <c r="G6" s="577"/>
      <c r="H6" s="577"/>
      <c r="I6" s="577"/>
      <c r="J6" s="577"/>
      <c r="K6" s="577"/>
      <c r="L6" s="577"/>
      <c r="M6" s="577"/>
      <c r="N6" s="577"/>
      <c r="O6" s="577"/>
      <c r="P6" s="577"/>
      <c r="Q6" s="577"/>
      <c r="R6" s="577"/>
      <c r="S6" s="577"/>
      <c r="T6" s="577"/>
      <c r="U6" s="577"/>
      <c r="V6" s="577"/>
      <c r="W6" s="577"/>
      <c r="X6" s="577"/>
      <c r="Y6" s="577"/>
      <c r="Z6" s="577"/>
      <c r="AA6" s="577"/>
      <c r="AB6" s="577"/>
      <c r="AC6" s="577"/>
      <c r="AD6" s="577"/>
      <c r="AE6" s="577"/>
      <c r="AF6" s="577"/>
      <c r="AG6" s="577"/>
      <c r="AH6" s="577"/>
      <c r="AI6" s="577"/>
      <c r="AJ6" s="577"/>
      <c r="AK6" s="582"/>
    </row>
    <row r="7" spans="1:37" ht="13.5" customHeight="1">
      <c r="A7" s="581"/>
      <c r="B7" s="577"/>
      <c r="C7" s="577"/>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577"/>
      <c r="AF7" s="577"/>
      <c r="AG7" s="577"/>
      <c r="AH7" s="577"/>
      <c r="AI7" s="577"/>
      <c r="AJ7" s="577"/>
      <c r="AK7" s="582"/>
    </row>
    <row r="8" spans="1:37" ht="13.5" customHeight="1">
      <c r="A8" s="581"/>
      <c r="B8" s="577"/>
      <c r="C8" s="577"/>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77"/>
      <c r="AF8" s="577"/>
      <c r="AG8" s="577"/>
      <c r="AH8" s="577"/>
      <c r="AI8" s="577"/>
      <c r="AJ8" s="577"/>
      <c r="AK8" s="582"/>
    </row>
    <row r="9" spans="1:37" ht="13.5" customHeight="1">
      <c r="A9" s="581"/>
      <c r="B9" s="577"/>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77"/>
      <c r="AF9" s="577"/>
      <c r="AG9" s="577"/>
      <c r="AH9" s="577"/>
      <c r="AI9" s="577"/>
      <c r="AJ9" s="577"/>
      <c r="AK9" s="582"/>
    </row>
    <row r="10" spans="1:37" ht="13.5" customHeight="1">
      <c r="A10" s="581"/>
      <c r="B10" s="577"/>
      <c r="C10" s="577"/>
      <c r="D10" s="577"/>
      <c r="E10" s="577"/>
      <c r="F10" s="577"/>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77"/>
      <c r="AF10" s="577"/>
      <c r="AG10" s="577"/>
      <c r="AH10" s="577"/>
      <c r="AI10" s="577"/>
      <c r="AJ10" s="577"/>
      <c r="AK10" s="582"/>
    </row>
    <row r="11" spans="1:37" ht="13.5" customHeight="1">
      <c r="A11" s="581"/>
      <c r="B11" s="577"/>
      <c r="C11" s="577"/>
      <c r="D11" s="577"/>
      <c r="E11" s="577"/>
      <c r="F11" s="577"/>
      <c r="G11" s="577"/>
      <c r="H11" s="577"/>
      <c r="I11" s="577"/>
      <c r="J11" s="577"/>
      <c r="K11" s="577"/>
      <c r="L11" s="577"/>
      <c r="M11" s="577"/>
      <c r="N11" s="577"/>
      <c r="O11" s="577"/>
      <c r="P11" s="577"/>
      <c r="Q11" s="577"/>
      <c r="R11" s="577"/>
      <c r="S11" s="577"/>
      <c r="T11" s="577"/>
      <c r="U11" s="577"/>
      <c r="V11" s="577"/>
      <c r="W11" s="577"/>
      <c r="X11" s="577"/>
      <c r="Y11" s="577"/>
      <c r="Z11" s="577"/>
      <c r="AA11" s="577"/>
      <c r="AB11" s="577"/>
      <c r="AC11" s="577"/>
      <c r="AD11" s="577"/>
      <c r="AE11" s="577"/>
      <c r="AF11" s="577"/>
      <c r="AG11" s="577"/>
      <c r="AH11" s="577"/>
      <c r="AI11" s="577"/>
      <c r="AJ11" s="577"/>
      <c r="AK11" s="582"/>
    </row>
    <row r="12" spans="1:37" ht="13.5" customHeight="1">
      <c r="A12" s="581"/>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82"/>
    </row>
    <row r="13" spans="1:37" ht="13.5" customHeight="1">
      <c r="A13" s="581"/>
      <c r="B13" s="577"/>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577"/>
      <c r="AJ13" s="577"/>
      <c r="AK13" s="582"/>
    </row>
    <row r="14" spans="1:37" ht="13.5" customHeight="1">
      <c r="A14" s="581"/>
      <c r="B14" s="577"/>
      <c r="C14" s="577"/>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577"/>
      <c r="AJ14" s="577"/>
      <c r="AK14" s="582"/>
    </row>
    <row r="15" spans="1:37" ht="13.5" customHeight="1">
      <c r="A15" s="581"/>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82"/>
    </row>
    <row r="16" spans="1:37" ht="13.5" customHeight="1">
      <c r="A16" s="581"/>
      <c r="B16" s="577"/>
      <c r="C16" s="577"/>
      <c r="D16" s="577"/>
      <c r="E16" s="577"/>
      <c r="F16" s="577"/>
      <c r="G16" s="577"/>
      <c r="H16" s="577"/>
      <c r="I16" s="577"/>
      <c r="J16" s="577"/>
      <c r="K16" s="577"/>
      <c r="L16" s="577"/>
      <c r="M16" s="577"/>
      <c r="N16" s="577"/>
      <c r="O16" s="577"/>
      <c r="P16" s="577"/>
      <c r="Q16" s="577"/>
      <c r="R16" s="577"/>
      <c r="S16" s="577"/>
      <c r="T16" s="577"/>
      <c r="U16" s="577"/>
      <c r="V16" s="577"/>
      <c r="W16" s="577"/>
      <c r="X16" s="577"/>
      <c r="Y16" s="577"/>
      <c r="Z16" s="577"/>
      <c r="AA16" s="577"/>
      <c r="AB16" s="577"/>
      <c r="AC16" s="577"/>
      <c r="AD16" s="577"/>
      <c r="AE16" s="577"/>
      <c r="AF16" s="577"/>
      <c r="AG16" s="577"/>
      <c r="AH16" s="577"/>
      <c r="AI16" s="577"/>
      <c r="AJ16" s="577"/>
      <c r="AK16" s="582"/>
    </row>
    <row r="17" spans="1:37" ht="13.5" customHeight="1">
      <c r="A17" s="581"/>
      <c r="B17" s="577"/>
      <c r="C17" s="577"/>
      <c r="D17" s="577"/>
      <c r="E17" s="577"/>
      <c r="F17" s="577"/>
      <c r="G17" s="577"/>
      <c r="H17" s="577"/>
      <c r="I17" s="577"/>
      <c r="J17" s="577"/>
      <c r="K17" s="577"/>
      <c r="L17" s="57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577"/>
      <c r="AJ17" s="577"/>
      <c r="AK17" s="582"/>
    </row>
    <row r="18" spans="1:37" ht="13.5" customHeight="1">
      <c r="A18" s="581"/>
      <c r="B18" s="577"/>
      <c r="C18" s="577"/>
      <c r="D18" s="577"/>
      <c r="E18" s="577"/>
      <c r="F18" s="577"/>
      <c r="G18" s="577"/>
      <c r="H18" s="577"/>
      <c r="I18" s="577"/>
      <c r="J18" s="577"/>
      <c r="K18" s="577"/>
      <c r="L18" s="577"/>
      <c r="M18" s="577"/>
      <c r="N18" s="577"/>
      <c r="O18" s="577"/>
      <c r="P18" s="577"/>
      <c r="Q18" s="577"/>
      <c r="R18" s="577"/>
      <c r="S18" s="577"/>
      <c r="T18" s="577"/>
      <c r="U18" s="577"/>
      <c r="V18" s="577"/>
      <c r="W18" s="577"/>
      <c r="X18" s="577"/>
      <c r="Y18" s="577"/>
      <c r="Z18" s="577"/>
      <c r="AA18" s="577"/>
      <c r="AB18" s="577"/>
      <c r="AC18" s="577"/>
      <c r="AD18" s="577"/>
      <c r="AE18" s="577"/>
      <c r="AF18" s="577"/>
      <c r="AG18" s="577"/>
      <c r="AH18" s="577"/>
      <c r="AI18" s="577"/>
      <c r="AJ18" s="577"/>
      <c r="AK18" s="582"/>
    </row>
    <row r="19" spans="1:37" ht="13.5" customHeight="1">
      <c r="A19" s="581"/>
      <c r="B19" s="577"/>
      <c r="C19" s="577"/>
      <c r="D19" s="577"/>
      <c r="E19" s="577"/>
      <c r="F19" s="577"/>
      <c r="G19" s="577"/>
      <c r="H19" s="577"/>
      <c r="I19" s="577"/>
      <c r="J19" s="577"/>
      <c r="K19" s="577"/>
      <c r="L19" s="577"/>
      <c r="M19" s="577"/>
      <c r="N19" s="577"/>
      <c r="O19" s="577"/>
      <c r="P19" s="577"/>
      <c r="Q19" s="577"/>
      <c r="R19" s="577"/>
      <c r="S19" s="577"/>
      <c r="T19" s="577"/>
      <c r="U19" s="577"/>
      <c r="V19" s="577"/>
      <c r="W19" s="577"/>
      <c r="X19" s="577"/>
      <c r="Y19" s="577"/>
      <c r="Z19" s="577"/>
      <c r="AA19" s="577"/>
      <c r="AB19" s="577"/>
      <c r="AC19" s="577"/>
      <c r="AD19" s="577"/>
      <c r="AE19" s="577"/>
      <c r="AF19" s="577"/>
      <c r="AG19" s="577"/>
      <c r="AH19" s="577"/>
      <c r="AI19" s="577"/>
      <c r="AJ19" s="577"/>
      <c r="AK19" s="582"/>
    </row>
    <row r="20" spans="1:37" ht="13.5" customHeight="1">
      <c r="A20" s="581"/>
      <c r="B20" s="577"/>
      <c r="C20" s="577"/>
      <c r="D20" s="577"/>
      <c r="E20" s="577"/>
      <c r="F20" s="577"/>
      <c r="G20" s="577"/>
      <c r="H20" s="577"/>
      <c r="I20" s="577"/>
      <c r="J20" s="577"/>
      <c r="K20" s="577"/>
      <c r="L20" s="577"/>
      <c r="M20" s="577"/>
      <c r="N20" s="577"/>
      <c r="O20" s="577"/>
      <c r="P20" s="577"/>
      <c r="Q20" s="577"/>
      <c r="R20" s="577"/>
      <c r="S20" s="577"/>
      <c r="T20" s="577"/>
      <c r="U20" s="577"/>
      <c r="V20" s="577"/>
      <c r="W20" s="577"/>
      <c r="X20" s="577"/>
      <c r="Y20" s="577"/>
      <c r="Z20" s="577"/>
      <c r="AA20" s="577"/>
      <c r="AB20" s="577"/>
      <c r="AC20" s="577"/>
      <c r="AD20" s="577"/>
      <c r="AE20" s="577"/>
      <c r="AF20" s="577"/>
      <c r="AG20" s="577"/>
      <c r="AH20" s="577"/>
      <c r="AI20" s="577"/>
      <c r="AJ20" s="577"/>
      <c r="AK20" s="582"/>
    </row>
    <row r="21" spans="1:37" ht="13.5" customHeight="1">
      <c r="A21" s="581"/>
      <c r="B21" s="577"/>
      <c r="C21" s="577"/>
      <c r="D21" s="577"/>
      <c r="E21" s="577"/>
      <c r="F21" s="577"/>
      <c r="G21" s="577"/>
      <c r="H21" s="577"/>
      <c r="I21" s="577"/>
      <c r="J21" s="577"/>
      <c r="K21" s="577"/>
      <c r="L21" s="577"/>
      <c r="M21" s="577"/>
      <c r="N21" s="577"/>
      <c r="O21" s="577"/>
      <c r="P21" s="577"/>
      <c r="Q21" s="577"/>
      <c r="R21" s="577"/>
      <c r="S21" s="577"/>
      <c r="T21" s="577"/>
      <c r="U21" s="577"/>
      <c r="V21" s="577"/>
      <c r="W21" s="577"/>
      <c r="X21" s="577"/>
      <c r="Y21" s="577"/>
      <c r="Z21" s="577"/>
      <c r="AA21" s="577"/>
      <c r="AB21" s="577"/>
      <c r="AC21" s="577"/>
      <c r="AD21" s="577"/>
      <c r="AE21" s="577"/>
      <c r="AF21" s="577"/>
      <c r="AG21" s="577"/>
      <c r="AH21" s="577"/>
      <c r="AI21" s="577"/>
      <c r="AJ21" s="577"/>
      <c r="AK21" s="582"/>
    </row>
    <row r="22" spans="1:37" ht="13.5" customHeight="1">
      <c r="A22" s="581"/>
      <c r="B22" s="577"/>
      <c r="C22" s="577"/>
      <c r="D22" s="577"/>
      <c r="E22" s="577"/>
      <c r="F22" s="577"/>
      <c r="G22" s="577"/>
      <c r="H22" s="577"/>
      <c r="I22" s="577"/>
      <c r="J22" s="577"/>
      <c r="K22" s="577"/>
      <c r="L22" s="577"/>
      <c r="M22" s="577"/>
      <c r="N22" s="577"/>
      <c r="O22" s="577"/>
      <c r="P22" s="577"/>
      <c r="Q22" s="577"/>
      <c r="R22" s="577"/>
      <c r="S22" s="577"/>
      <c r="T22" s="577"/>
      <c r="U22" s="577"/>
      <c r="V22" s="577"/>
      <c r="W22" s="577"/>
      <c r="X22" s="577"/>
      <c r="Y22" s="577"/>
      <c r="Z22" s="577"/>
      <c r="AA22" s="577"/>
      <c r="AB22" s="577"/>
      <c r="AC22" s="577"/>
      <c r="AD22" s="577"/>
      <c r="AE22" s="577"/>
      <c r="AF22" s="577"/>
      <c r="AG22" s="577"/>
      <c r="AH22" s="577"/>
      <c r="AI22" s="577"/>
      <c r="AJ22" s="577"/>
      <c r="AK22" s="582"/>
    </row>
    <row r="23" spans="1:37" ht="13.5" customHeight="1">
      <c r="A23" s="581"/>
      <c r="B23" s="577"/>
      <c r="C23" s="577"/>
      <c r="D23" s="577"/>
      <c r="E23" s="577"/>
      <c r="F23" s="577"/>
      <c r="G23" s="577"/>
      <c r="H23" s="577"/>
      <c r="I23" s="577"/>
      <c r="J23" s="577"/>
      <c r="K23" s="577"/>
      <c r="L23" s="577"/>
      <c r="M23" s="577"/>
      <c r="N23" s="577"/>
      <c r="O23" s="577"/>
      <c r="P23" s="577"/>
      <c r="Q23" s="577"/>
      <c r="R23" s="577"/>
      <c r="S23" s="577"/>
      <c r="T23" s="577"/>
      <c r="U23" s="577"/>
      <c r="V23" s="577"/>
      <c r="W23" s="577"/>
      <c r="X23" s="577"/>
      <c r="Y23" s="577"/>
      <c r="Z23" s="577"/>
      <c r="AA23" s="577"/>
      <c r="AB23" s="577"/>
      <c r="AC23" s="577"/>
      <c r="AD23" s="577"/>
      <c r="AE23" s="577"/>
      <c r="AF23" s="577"/>
      <c r="AG23" s="577"/>
      <c r="AH23" s="577"/>
      <c r="AI23" s="577"/>
      <c r="AJ23" s="577"/>
      <c r="AK23" s="582"/>
    </row>
    <row r="24" spans="1:37" ht="13.5" customHeight="1">
      <c r="A24" s="581"/>
      <c r="B24" s="577"/>
      <c r="C24" s="577"/>
      <c r="D24" s="577"/>
      <c r="E24" s="577"/>
      <c r="F24" s="577"/>
      <c r="G24" s="577"/>
      <c r="H24" s="577"/>
      <c r="I24" s="577"/>
      <c r="J24" s="577"/>
      <c r="K24" s="577"/>
      <c r="L24" s="577"/>
      <c r="M24" s="577"/>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82"/>
    </row>
    <row r="25" spans="1:37" ht="13.5" customHeight="1">
      <c r="A25" s="581"/>
      <c r="B25" s="577"/>
      <c r="C25" s="577"/>
      <c r="D25" s="577"/>
      <c r="E25" s="577"/>
      <c r="F25" s="577"/>
      <c r="G25" s="577"/>
      <c r="H25" s="577"/>
      <c r="I25" s="577"/>
      <c r="J25" s="577"/>
      <c r="K25" s="577"/>
      <c r="L25" s="57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577"/>
      <c r="AJ25" s="577"/>
      <c r="AK25" s="582"/>
    </row>
    <row r="26" spans="1:37" ht="13.5" customHeight="1">
      <c r="A26" s="581"/>
      <c r="B26" s="577"/>
      <c r="C26" s="577"/>
      <c r="D26" s="577"/>
      <c r="E26" s="577"/>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82"/>
    </row>
    <row r="27" spans="1:37" ht="13.5" customHeight="1">
      <c r="A27" s="581"/>
      <c r="B27" s="577"/>
      <c r="C27" s="577"/>
      <c r="D27" s="577"/>
      <c r="E27" s="577"/>
      <c r="F27" s="577"/>
      <c r="G27" s="577"/>
      <c r="H27" s="577"/>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577"/>
      <c r="AH27" s="577"/>
      <c r="AI27" s="577"/>
      <c r="AJ27" s="577"/>
      <c r="AK27" s="582"/>
    </row>
    <row r="28" spans="1:37" ht="13.5" customHeight="1">
      <c r="A28" s="581"/>
      <c r="B28" s="577"/>
      <c r="C28" s="577"/>
      <c r="D28" s="577"/>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82"/>
    </row>
    <row r="29" spans="1:37" ht="13.5" customHeight="1">
      <c r="A29" s="581"/>
      <c r="B29" s="577"/>
      <c r="C29" s="577"/>
      <c r="D29" s="577"/>
      <c r="E29" s="577"/>
      <c r="F29" s="577"/>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82"/>
    </row>
    <row r="30" spans="1:37" ht="13.5" customHeight="1">
      <c r="A30" s="581"/>
      <c r="B30" s="577"/>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577"/>
      <c r="AK30" s="582"/>
    </row>
    <row r="31" spans="1:37" ht="13.5" customHeight="1">
      <c r="A31" s="581"/>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82"/>
    </row>
    <row r="32" spans="1:37" ht="13.5" customHeight="1">
      <c r="A32" s="581"/>
      <c r="B32" s="577"/>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577"/>
      <c r="AJ32" s="577"/>
      <c r="AK32" s="582"/>
    </row>
    <row r="33" spans="1:37" ht="13.5" customHeight="1">
      <c r="A33" s="581"/>
      <c r="B33" s="577"/>
      <c r="C33" s="577"/>
      <c r="D33" s="577"/>
      <c r="E33" s="577"/>
      <c r="F33" s="577"/>
      <c r="G33" s="577"/>
      <c r="H33" s="577"/>
      <c r="I33" s="577"/>
      <c r="J33" s="577"/>
      <c r="K33" s="577"/>
      <c r="L33" s="57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577"/>
      <c r="AJ33" s="577"/>
      <c r="AK33" s="582"/>
    </row>
    <row r="34" spans="1:37" ht="13.5" customHeight="1">
      <c r="A34" s="581"/>
      <c r="B34" s="577"/>
      <c r="C34" s="577"/>
      <c r="D34" s="577"/>
      <c r="E34" s="577"/>
      <c r="F34" s="577"/>
      <c r="G34" s="577"/>
      <c r="H34" s="577"/>
      <c r="I34" s="577"/>
      <c r="J34" s="577"/>
      <c r="K34" s="577"/>
      <c r="L34" s="577"/>
      <c r="M34" s="577"/>
      <c r="N34" s="577"/>
      <c r="O34" s="577"/>
      <c r="P34" s="577"/>
      <c r="Q34" s="577"/>
      <c r="R34" s="577"/>
      <c r="S34" s="577"/>
      <c r="T34" s="577"/>
      <c r="U34" s="577"/>
      <c r="V34" s="577"/>
      <c r="W34" s="577"/>
      <c r="X34" s="577"/>
      <c r="Y34" s="577"/>
      <c r="Z34" s="577"/>
      <c r="AA34" s="577"/>
      <c r="AB34" s="577"/>
      <c r="AC34" s="577"/>
      <c r="AD34" s="577"/>
      <c r="AE34" s="577"/>
      <c r="AF34" s="577"/>
      <c r="AG34" s="577"/>
      <c r="AH34" s="577"/>
      <c r="AI34" s="577"/>
      <c r="AJ34" s="577"/>
      <c r="AK34" s="582"/>
    </row>
    <row r="35" spans="1:37" ht="13.5" customHeight="1">
      <c r="A35" s="581"/>
      <c r="B35" s="577"/>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577"/>
      <c r="AJ35" s="577"/>
      <c r="AK35" s="582"/>
    </row>
    <row r="36" spans="1:37" ht="13.5" customHeight="1">
      <c r="A36" s="581"/>
      <c r="B36" s="577"/>
      <c r="C36" s="577"/>
      <c r="D36" s="577"/>
      <c r="E36" s="577"/>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577"/>
      <c r="AJ36" s="577"/>
      <c r="AK36" s="582"/>
    </row>
    <row r="37" spans="1:37" ht="13.5" customHeight="1">
      <c r="A37" s="581"/>
      <c r="B37" s="577"/>
      <c r="C37" s="577"/>
      <c r="D37" s="577"/>
      <c r="E37" s="577"/>
      <c r="F37" s="577"/>
      <c r="G37" s="577"/>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577"/>
      <c r="AJ37" s="577"/>
      <c r="AK37" s="582"/>
    </row>
    <row r="38" spans="1:37" ht="13.5" customHeight="1">
      <c r="A38" s="581"/>
      <c r="B38" s="577"/>
      <c r="C38" s="577"/>
      <c r="D38" s="577"/>
      <c r="E38" s="577"/>
      <c r="F38" s="577"/>
      <c r="G38" s="577"/>
      <c r="H38" s="577"/>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577"/>
      <c r="AJ38" s="577"/>
      <c r="AK38" s="582"/>
    </row>
    <row r="39" spans="1:37" ht="13.5" customHeight="1">
      <c r="A39" s="581"/>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577"/>
      <c r="AJ39" s="577"/>
      <c r="AK39" s="582"/>
    </row>
    <row r="40" spans="1:37" ht="13.5" customHeight="1">
      <c r="A40" s="581"/>
      <c r="B40" s="577"/>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577"/>
      <c r="AJ40" s="577"/>
      <c r="AK40" s="582"/>
    </row>
    <row r="41" spans="1:37" ht="13.5" customHeight="1">
      <c r="A41" s="581"/>
      <c r="B41" s="577"/>
      <c r="C41" s="577"/>
      <c r="D41" s="577"/>
      <c r="E41" s="577"/>
      <c r="F41" s="577"/>
      <c r="G41" s="577"/>
      <c r="H41" s="577"/>
      <c r="I41" s="577"/>
      <c r="J41" s="577"/>
      <c r="K41" s="577"/>
      <c r="L41" s="577"/>
      <c r="M41" s="577"/>
      <c r="N41" s="577"/>
      <c r="O41" s="577"/>
      <c r="P41" s="577"/>
      <c r="Q41" s="577"/>
      <c r="R41" s="577"/>
      <c r="S41" s="577"/>
      <c r="T41" s="577"/>
      <c r="U41" s="577"/>
      <c r="V41" s="577"/>
      <c r="W41" s="577"/>
      <c r="X41" s="577"/>
      <c r="Y41" s="577"/>
      <c r="Z41" s="577"/>
      <c r="AA41" s="577"/>
      <c r="AB41" s="577"/>
      <c r="AC41" s="577"/>
      <c r="AD41" s="577"/>
      <c r="AE41" s="577"/>
      <c r="AF41" s="577"/>
      <c r="AG41" s="577"/>
      <c r="AH41" s="577"/>
      <c r="AI41" s="577"/>
      <c r="AJ41" s="577"/>
      <c r="AK41" s="582"/>
    </row>
    <row r="42" spans="1:37" ht="13.5" customHeight="1">
      <c r="A42" s="581"/>
      <c r="B42" s="577"/>
      <c r="C42" s="577"/>
      <c r="D42" s="577"/>
      <c r="E42" s="577"/>
      <c r="F42" s="577"/>
      <c r="G42" s="577"/>
      <c r="H42" s="577"/>
      <c r="I42" s="577"/>
      <c r="J42" s="577"/>
      <c r="K42" s="577"/>
      <c r="L42" s="577"/>
      <c r="M42" s="577"/>
      <c r="N42" s="577"/>
      <c r="O42" s="577"/>
      <c r="P42" s="577"/>
      <c r="Q42" s="577"/>
      <c r="R42" s="577"/>
      <c r="S42" s="577"/>
      <c r="T42" s="577"/>
      <c r="U42" s="577"/>
      <c r="V42" s="577"/>
      <c r="W42" s="577"/>
      <c r="X42" s="577"/>
      <c r="Y42" s="577"/>
      <c r="Z42" s="577"/>
      <c r="AA42" s="577"/>
      <c r="AB42" s="577"/>
      <c r="AC42" s="577"/>
      <c r="AD42" s="577"/>
      <c r="AE42" s="577"/>
      <c r="AF42" s="577"/>
      <c r="AG42" s="577"/>
      <c r="AH42" s="577"/>
      <c r="AI42" s="577"/>
      <c r="AJ42" s="577"/>
      <c r="AK42" s="582"/>
    </row>
    <row r="43" spans="1:37" ht="13.5" customHeight="1">
      <c r="A43" s="581"/>
      <c r="B43" s="577"/>
      <c r="C43" s="577"/>
      <c r="D43" s="577"/>
      <c r="E43" s="577"/>
      <c r="F43" s="577"/>
      <c r="G43" s="577"/>
      <c r="H43" s="577"/>
      <c r="I43" s="577"/>
      <c r="J43" s="577"/>
      <c r="K43" s="577"/>
      <c r="L43" s="577"/>
      <c r="M43" s="577"/>
      <c r="N43" s="577"/>
      <c r="O43" s="577"/>
      <c r="P43" s="577"/>
      <c r="Q43" s="577"/>
      <c r="R43" s="577"/>
      <c r="S43" s="577"/>
      <c r="T43" s="577"/>
      <c r="U43" s="577"/>
      <c r="V43" s="577"/>
      <c r="W43" s="577"/>
      <c r="X43" s="577"/>
      <c r="Y43" s="577"/>
      <c r="Z43" s="577"/>
      <c r="AA43" s="577"/>
      <c r="AB43" s="577"/>
      <c r="AC43" s="577"/>
      <c r="AD43" s="577"/>
      <c r="AE43" s="577"/>
      <c r="AF43" s="577"/>
      <c r="AG43" s="577"/>
      <c r="AH43" s="577"/>
      <c r="AI43" s="577"/>
      <c r="AJ43" s="577"/>
      <c r="AK43" s="582"/>
    </row>
    <row r="44" spans="1:37" ht="13.5" customHeight="1" thickBot="1">
      <c r="A44" s="583"/>
      <c r="B44" s="584"/>
      <c r="C44" s="584"/>
      <c r="D44" s="584"/>
      <c r="E44" s="584"/>
      <c r="F44" s="584"/>
      <c r="G44" s="584"/>
      <c r="H44" s="584"/>
      <c r="I44" s="584"/>
      <c r="J44" s="584"/>
      <c r="K44" s="584"/>
      <c r="L44" s="584"/>
      <c r="M44" s="584"/>
      <c r="N44" s="584"/>
      <c r="O44" s="584"/>
      <c r="P44" s="584"/>
      <c r="Q44" s="584"/>
      <c r="R44" s="584"/>
      <c r="S44" s="584"/>
      <c r="T44" s="584"/>
      <c r="U44" s="584"/>
      <c r="V44" s="584"/>
      <c r="W44" s="584"/>
      <c r="X44" s="584"/>
      <c r="Y44" s="584"/>
      <c r="Z44" s="584"/>
      <c r="AA44" s="584"/>
      <c r="AB44" s="584"/>
      <c r="AC44" s="584"/>
      <c r="AD44" s="584"/>
      <c r="AE44" s="584"/>
      <c r="AF44" s="584"/>
      <c r="AG44" s="584"/>
      <c r="AH44" s="584"/>
      <c r="AI44" s="584"/>
      <c r="AJ44" s="584"/>
      <c r="AK44" s="585"/>
    </row>
    <row r="45" spans="1:37" ht="12" customHeight="1">
      <c r="A45" s="742" t="s">
        <v>802</v>
      </c>
      <c r="B45" s="742"/>
      <c r="C45" s="736"/>
      <c r="D45" s="736"/>
      <c r="E45" s="736"/>
      <c r="F45" s="736"/>
      <c r="G45" s="736"/>
      <c r="H45" s="233"/>
      <c r="I45" s="233"/>
      <c r="J45" s="233"/>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row>
    <row r="46" spans="1:37" ht="7.5" customHeight="1">
      <c r="A46" s="233"/>
      <c r="B46" s="233"/>
      <c r="C46" s="233"/>
      <c r="D46" s="233"/>
      <c r="E46" s="233"/>
      <c r="F46" s="233"/>
      <c r="G46" s="233"/>
      <c r="H46" s="233"/>
      <c r="I46" s="233"/>
      <c r="J46" s="233"/>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36"/>
      <c r="AH46" s="236"/>
      <c r="AI46" s="236"/>
      <c r="AJ46" s="236"/>
      <c r="AK46" s="236"/>
    </row>
    <row r="47" spans="1:37">
      <c r="A47" s="235" t="s">
        <v>357</v>
      </c>
      <c r="B47" s="235"/>
      <c r="C47" s="235"/>
      <c r="D47" s="235"/>
      <c r="E47" s="235"/>
      <c r="F47" s="235"/>
      <c r="G47" s="235"/>
      <c r="H47" s="235"/>
      <c r="I47" s="235"/>
      <c r="J47" s="235"/>
      <c r="K47" s="741"/>
      <c r="L47" s="741"/>
      <c r="M47" s="741"/>
      <c r="N47" s="741"/>
      <c r="O47" s="741"/>
      <c r="P47" s="741"/>
      <c r="Q47" s="741"/>
      <c r="R47" s="741"/>
      <c r="S47" s="741"/>
      <c r="T47" s="741"/>
      <c r="U47" s="741"/>
      <c r="V47" s="741"/>
      <c r="W47" s="741"/>
      <c r="X47" s="741"/>
      <c r="Y47" s="741"/>
      <c r="Z47" s="741"/>
      <c r="AA47" s="741"/>
      <c r="AB47" s="741"/>
      <c r="AC47" s="741"/>
      <c r="AD47" s="741"/>
      <c r="AE47" s="741"/>
      <c r="AF47" s="741"/>
      <c r="AG47" s="741"/>
      <c r="AH47" s="741"/>
      <c r="AI47" s="741"/>
      <c r="AJ47" s="741"/>
      <c r="AK47" s="741"/>
    </row>
    <row r="48" spans="1:37" ht="6.75" customHeight="1">
      <c r="A48" s="235"/>
      <c r="B48" s="235"/>
      <c r="C48" s="235"/>
      <c r="D48" s="235"/>
      <c r="E48" s="235"/>
      <c r="F48" s="235"/>
      <c r="G48" s="235"/>
      <c r="H48" s="235"/>
      <c r="I48" s="235"/>
      <c r="J48" s="235"/>
      <c r="K48" s="235"/>
      <c r="L48" s="235"/>
      <c r="M48" s="235"/>
      <c r="N48" s="235"/>
      <c r="O48" s="235"/>
      <c r="P48" s="235"/>
      <c r="Q48" s="235"/>
      <c r="R48" s="235"/>
      <c r="S48" s="235"/>
      <c r="T48" s="235"/>
      <c r="U48" s="235"/>
      <c r="V48" s="235"/>
      <c r="W48" s="235"/>
      <c r="X48" s="235"/>
      <c r="Y48" s="235"/>
      <c r="Z48" s="235"/>
      <c r="AA48" s="235"/>
      <c r="AB48" s="235"/>
      <c r="AC48" s="235"/>
      <c r="AD48" s="235"/>
      <c r="AE48" s="235"/>
      <c r="AF48" s="235"/>
      <c r="AG48" s="235"/>
      <c r="AH48" s="235"/>
      <c r="AI48" s="235"/>
      <c r="AJ48" s="235"/>
      <c r="AK48" s="235"/>
    </row>
    <row r="49" spans="1:37">
      <c r="A49" s="233"/>
      <c r="B49" s="233"/>
      <c r="C49" s="233"/>
      <c r="D49" s="233"/>
      <c r="E49" s="233"/>
      <c r="F49" s="233"/>
      <c r="G49" s="233"/>
      <c r="H49" s="233"/>
      <c r="I49" s="233"/>
      <c r="J49" s="233"/>
      <c r="K49" s="741"/>
      <c r="L49" s="741"/>
      <c r="M49" s="741"/>
      <c r="N49" s="741"/>
      <c r="O49" s="741"/>
      <c r="P49" s="741"/>
      <c r="Q49" s="741"/>
      <c r="R49" s="741"/>
      <c r="S49" s="741"/>
      <c r="T49" s="741"/>
      <c r="U49" s="741"/>
      <c r="V49" s="741"/>
      <c r="W49" s="741"/>
      <c r="X49" s="741"/>
      <c r="Y49" s="741"/>
      <c r="Z49" s="741"/>
      <c r="AA49" s="741"/>
      <c r="AB49" s="741"/>
      <c r="AC49" s="741"/>
      <c r="AD49" s="741"/>
      <c r="AE49" s="741"/>
      <c r="AF49" s="741"/>
      <c r="AG49" s="741"/>
      <c r="AH49" s="741"/>
      <c r="AI49" s="741"/>
      <c r="AJ49" s="741"/>
      <c r="AK49" s="741"/>
    </row>
    <row r="50" spans="1:37" ht="7.5" customHeight="1">
      <c r="A50" s="233"/>
      <c r="B50" s="233"/>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row>
    <row r="51" spans="1:37" ht="15.75">
      <c r="A51" s="223" t="s">
        <v>356</v>
      </c>
      <c r="B51" s="237"/>
      <c r="C51" s="237"/>
      <c r="D51" s="237"/>
      <c r="E51" s="237"/>
      <c r="F51" s="237"/>
      <c r="G51" s="237"/>
      <c r="H51" s="237"/>
      <c r="I51" s="237"/>
      <c r="J51" s="737" t="s">
        <v>803</v>
      </c>
      <c r="K51" s="737"/>
      <c r="L51" s="737"/>
      <c r="M51" s="737"/>
      <c r="N51" s="737" t="str">
        <f>IF(ISBLANK('Site Evaluation'!B6),"",'Site Evaluation'!B6)</f>
        <v/>
      </c>
      <c r="O51" s="737"/>
      <c r="P51" s="737"/>
      <c r="Q51" s="737"/>
      <c r="R51" s="737"/>
      <c r="S51" s="737"/>
      <c r="T51" s="737"/>
      <c r="U51" s="737"/>
      <c r="V51" s="737"/>
      <c r="W51" s="737"/>
      <c r="X51" s="737"/>
      <c r="Y51" s="737"/>
      <c r="Z51" s="737"/>
      <c r="AA51" s="737"/>
      <c r="AB51" s="737" t="s">
        <v>422</v>
      </c>
      <c r="AC51" s="737"/>
      <c r="AD51" s="737"/>
      <c r="AE51" s="737">
        <f>soils!F1</f>
        <v>2345</v>
      </c>
      <c r="AF51" s="737"/>
      <c r="AG51" s="737"/>
      <c r="AH51" s="737"/>
      <c r="AI51" s="737"/>
      <c r="AJ51" s="737"/>
      <c r="AK51" s="743"/>
    </row>
    <row r="52" spans="1:37" ht="9.75" customHeight="1">
      <c r="A52" s="221"/>
      <c r="B52" s="238"/>
      <c r="C52" s="238"/>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238"/>
      <c r="AC52" s="238"/>
      <c r="AD52" s="238"/>
      <c r="AE52" s="238"/>
      <c r="AF52" s="238"/>
      <c r="AG52" s="238"/>
      <c r="AH52" s="238"/>
      <c r="AI52" s="238"/>
      <c r="AJ52" s="238"/>
      <c r="AK52" s="238"/>
    </row>
    <row r="53" spans="1:37">
      <c r="A53" s="233" t="s">
        <v>355</v>
      </c>
      <c r="B53" s="233"/>
      <c r="C53" s="233"/>
      <c r="D53" s="233"/>
      <c r="E53" s="744"/>
      <c r="F53" s="744"/>
      <c r="G53" s="744"/>
      <c r="H53" s="744"/>
      <c r="I53" s="744"/>
      <c r="J53" s="744"/>
      <c r="K53" s="233"/>
      <c r="L53" s="233"/>
      <c r="M53" s="239"/>
      <c r="N53" s="233" t="s">
        <v>354</v>
      </c>
      <c r="O53" s="233"/>
      <c r="P53" s="233"/>
      <c r="Q53" s="233"/>
      <c r="R53" s="233"/>
      <c r="S53" s="233"/>
      <c r="T53" s="239"/>
      <c r="U53" s="233" t="s">
        <v>353</v>
      </c>
      <c r="V53" s="233"/>
      <c r="W53" s="233"/>
      <c r="X53" s="233"/>
      <c r="Y53" s="744"/>
      <c r="Z53" s="744"/>
      <c r="AA53" s="233" t="s">
        <v>352</v>
      </c>
      <c r="AB53" s="233"/>
      <c r="AC53" s="233"/>
      <c r="AD53" s="233"/>
      <c r="AE53" s="744"/>
      <c r="AF53" s="744"/>
      <c r="AG53" s="576"/>
      <c r="AH53" s="576"/>
      <c r="AI53" s="576"/>
      <c r="AJ53" s="576"/>
      <c r="AK53" s="233"/>
    </row>
    <row r="54" spans="1:37">
      <c r="A54" s="233"/>
      <c r="B54" s="233"/>
      <c r="C54" s="233"/>
      <c r="D54" s="233"/>
      <c r="E54" s="235"/>
      <c r="F54" s="235"/>
      <c r="G54" s="235"/>
      <c r="H54" s="235"/>
      <c r="I54" s="235"/>
      <c r="J54" s="235"/>
      <c r="K54" s="233"/>
      <c r="L54" s="233"/>
      <c r="M54" s="235"/>
      <c r="N54" s="233"/>
      <c r="O54" s="233"/>
      <c r="P54" s="233"/>
      <c r="Q54" s="233"/>
      <c r="R54" s="233"/>
      <c r="S54" s="233"/>
      <c r="T54" s="235"/>
      <c r="U54" s="233"/>
      <c r="V54" s="233"/>
      <c r="W54" s="233"/>
      <c r="X54" s="233"/>
      <c r="Y54" s="235"/>
      <c r="Z54" s="235"/>
      <c r="AA54" s="233"/>
      <c r="AB54" s="233"/>
      <c r="AC54" s="233"/>
      <c r="AD54" s="233"/>
      <c r="AE54" s="235"/>
      <c r="AF54" s="235"/>
      <c r="AG54" s="235"/>
      <c r="AH54" s="235"/>
      <c r="AI54" s="235"/>
      <c r="AJ54" s="235"/>
      <c r="AK54" s="233"/>
    </row>
    <row r="55" spans="1:37">
      <c r="A55" s="233"/>
      <c r="B55" s="233"/>
      <c r="C55" s="233"/>
      <c r="D55" s="233"/>
      <c r="E55" s="235"/>
      <c r="F55" s="235"/>
      <c r="G55" s="235"/>
      <c r="H55" s="235"/>
      <c r="I55" s="235"/>
      <c r="J55" s="235"/>
      <c r="K55" s="233"/>
      <c r="L55" s="233"/>
      <c r="M55" s="235"/>
      <c r="N55" s="233"/>
      <c r="O55" s="233"/>
      <c r="P55" s="233"/>
      <c r="Q55" s="233"/>
      <c r="R55" s="233"/>
      <c r="S55" s="233"/>
      <c r="T55" s="235"/>
      <c r="U55" s="233"/>
      <c r="V55" s="233"/>
      <c r="W55" s="233"/>
      <c r="X55" s="233"/>
      <c r="Y55" s="235"/>
      <c r="Z55" s="235"/>
      <c r="AA55" s="233"/>
      <c r="AB55" s="233"/>
      <c r="AC55" s="233"/>
      <c r="AD55" s="233"/>
      <c r="AE55" s="235"/>
      <c r="AF55" s="235"/>
      <c r="AG55" s="235"/>
      <c r="AH55" s="235"/>
      <c r="AI55" s="235"/>
      <c r="AJ55" s="235"/>
      <c r="AK55" s="233"/>
    </row>
    <row r="56" spans="1:37">
      <c r="F56" s="238"/>
      <c r="G56" s="233"/>
      <c r="H56" s="233"/>
      <c r="I56" s="233"/>
      <c r="J56" s="233"/>
      <c r="K56" s="233"/>
      <c r="L56" s="233"/>
      <c r="M56" s="233"/>
      <c r="N56" s="233"/>
      <c r="O56" s="736" t="s">
        <v>838</v>
      </c>
      <c r="P56" s="736"/>
      <c r="Q56" s="736"/>
      <c r="R56" s="736"/>
      <c r="S56" s="736"/>
      <c r="T56" s="736"/>
      <c r="U56" s="736"/>
      <c r="V56" s="736"/>
      <c r="W56" s="736" t="s">
        <v>839</v>
      </c>
      <c r="X56" s="736"/>
      <c r="Y56" s="736"/>
      <c r="Z56" s="736"/>
      <c r="AA56" s="736"/>
      <c r="AB56" s="736"/>
      <c r="AC56" s="736"/>
      <c r="AD56" s="736"/>
      <c r="AE56" s="233"/>
      <c r="AF56" s="233"/>
      <c r="AG56" s="233"/>
      <c r="AH56" s="233"/>
      <c r="AI56" s="233"/>
      <c r="AJ56" s="233"/>
      <c r="AK56" s="233"/>
    </row>
    <row r="57" spans="1:37">
      <c r="F57" s="734" t="s">
        <v>829</v>
      </c>
      <c r="G57" s="734"/>
      <c r="H57" s="734"/>
      <c r="I57" s="734"/>
      <c r="J57" s="734"/>
      <c r="K57" s="734"/>
      <c r="L57" s="734"/>
      <c r="M57" s="734"/>
      <c r="N57" s="735"/>
      <c r="O57" s="631"/>
      <c r="P57" s="632"/>
      <c r="Q57" s="632"/>
      <c r="R57" s="632"/>
      <c r="S57" s="632"/>
      <c r="T57" s="632"/>
      <c r="U57" s="632"/>
      <c r="V57" s="633" t="s">
        <v>830</v>
      </c>
      <c r="W57" s="631"/>
      <c r="X57" s="632"/>
      <c r="Y57" s="632"/>
      <c r="Z57" s="632"/>
      <c r="AA57" s="632"/>
      <c r="AB57" s="632"/>
      <c r="AC57" s="632"/>
      <c r="AD57" s="632" t="s">
        <v>840</v>
      </c>
      <c r="AE57" s="233"/>
      <c r="AF57" s="233"/>
      <c r="AG57" s="233"/>
      <c r="AH57" s="233"/>
      <c r="AI57" s="233"/>
      <c r="AJ57" s="233"/>
      <c r="AK57" s="233"/>
    </row>
    <row r="58" spans="1:37">
      <c r="F58" s="734" t="s">
        <v>831</v>
      </c>
      <c r="G58" s="734"/>
      <c r="H58" s="734"/>
      <c r="I58" s="734"/>
      <c r="J58" s="734"/>
      <c r="K58" s="734"/>
      <c r="L58" s="734"/>
      <c r="M58" s="734"/>
      <c r="N58" s="735"/>
      <c r="O58" s="631"/>
      <c r="P58" s="632"/>
      <c r="Q58" s="632"/>
      <c r="R58" s="632"/>
      <c r="S58" s="632"/>
      <c r="T58" s="632"/>
      <c r="U58" s="632"/>
      <c r="V58" s="633" t="s">
        <v>840</v>
      </c>
      <c r="W58" s="631"/>
      <c r="X58" s="632"/>
      <c r="Y58" s="632"/>
      <c r="Z58" s="632"/>
      <c r="AA58" s="632"/>
      <c r="AB58" s="632"/>
      <c r="AC58" s="632"/>
      <c r="AD58" s="632" t="s">
        <v>840</v>
      </c>
      <c r="AE58" s="233"/>
      <c r="AF58" s="233"/>
      <c r="AG58" s="233"/>
      <c r="AH58" s="233"/>
      <c r="AI58" s="233"/>
      <c r="AJ58" s="233"/>
      <c r="AK58" s="233"/>
    </row>
    <row r="59" spans="1:37">
      <c r="F59" s="734" t="s">
        <v>832</v>
      </c>
      <c r="G59" s="734"/>
      <c r="H59" s="734"/>
      <c r="I59" s="734"/>
      <c r="J59" s="734"/>
      <c r="K59" s="734"/>
      <c r="L59" s="734"/>
      <c r="M59" s="734"/>
      <c r="N59" s="735"/>
      <c r="O59" s="631"/>
      <c r="P59" s="632"/>
      <c r="Q59" s="632"/>
      <c r="R59" s="632"/>
      <c r="S59" s="632"/>
      <c r="T59" s="632"/>
      <c r="U59" s="632"/>
      <c r="V59" s="633" t="s">
        <v>840</v>
      </c>
      <c r="W59" s="631"/>
      <c r="X59" s="632"/>
      <c r="Y59" s="632"/>
      <c r="Z59" s="632"/>
      <c r="AA59" s="632"/>
      <c r="AB59" s="632"/>
      <c r="AC59" s="632"/>
      <c r="AD59" s="632" t="s">
        <v>840</v>
      </c>
      <c r="AE59" s="233"/>
      <c r="AF59" s="233"/>
      <c r="AG59" s="233"/>
      <c r="AH59" s="233"/>
      <c r="AI59" s="233"/>
      <c r="AJ59" s="233"/>
      <c r="AK59" s="233"/>
    </row>
    <row r="60" spans="1:37">
      <c r="F60" s="734" t="s">
        <v>833</v>
      </c>
      <c r="G60" s="734"/>
      <c r="H60" s="734"/>
      <c r="I60" s="734"/>
      <c r="J60" s="734"/>
      <c r="K60" s="734"/>
      <c r="L60" s="734"/>
      <c r="M60" s="734"/>
      <c r="N60" s="735"/>
      <c r="O60" s="631"/>
      <c r="P60" s="632"/>
      <c r="Q60" s="632"/>
      <c r="R60" s="632"/>
      <c r="S60" s="632"/>
      <c r="T60" s="632"/>
      <c r="U60" s="632"/>
      <c r="V60" s="633" t="s">
        <v>840</v>
      </c>
      <c r="W60" s="631"/>
      <c r="X60" s="632"/>
      <c r="Y60" s="632"/>
      <c r="Z60" s="632"/>
      <c r="AA60" s="632"/>
      <c r="AB60" s="632"/>
      <c r="AC60" s="632"/>
      <c r="AD60" s="632" t="s">
        <v>840</v>
      </c>
      <c r="AE60" s="233"/>
      <c r="AF60" s="233"/>
      <c r="AG60" s="233"/>
      <c r="AH60" s="233"/>
      <c r="AI60" s="233"/>
      <c r="AJ60" s="233"/>
      <c r="AK60" s="233"/>
    </row>
    <row r="61" spans="1:37">
      <c r="F61" s="734" t="s">
        <v>834</v>
      </c>
      <c r="G61" s="734"/>
      <c r="H61" s="734"/>
      <c r="I61" s="734"/>
      <c r="J61" s="734"/>
      <c r="K61" s="734"/>
      <c r="L61" s="734"/>
      <c r="M61" s="734"/>
      <c r="N61" s="735"/>
      <c r="O61" s="631"/>
      <c r="P61" s="632"/>
      <c r="Q61" s="632"/>
      <c r="R61" s="632"/>
      <c r="S61" s="632"/>
      <c r="T61" s="632"/>
      <c r="U61" s="632"/>
      <c r="V61" s="633" t="s">
        <v>840</v>
      </c>
      <c r="W61" s="631"/>
      <c r="X61" s="632"/>
      <c r="Y61" s="632"/>
      <c r="Z61" s="632"/>
      <c r="AA61" s="632"/>
      <c r="AB61" s="632"/>
      <c r="AC61" s="632"/>
      <c r="AD61" s="632" t="s">
        <v>840</v>
      </c>
      <c r="AE61" s="233"/>
      <c r="AF61" s="233"/>
      <c r="AG61" s="233"/>
      <c r="AH61" s="233"/>
      <c r="AI61" s="233"/>
      <c r="AJ61" s="233"/>
      <c r="AK61" s="233"/>
    </row>
    <row r="62" spans="1:37">
      <c r="F62" s="734" t="s">
        <v>835</v>
      </c>
      <c r="G62" s="734"/>
      <c r="H62" s="734"/>
      <c r="I62" s="734"/>
      <c r="J62" s="734"/>
      <c r="K62" s="734"/>
      <c r="L62" s="734"/>
      <c r="M62" s="734"/>
      <c r="N62" s="735"/>
      <c r="O62" s="631"/>
      <c r="P62" s="632"/>
      <c r="Q62" s="632"/>
      <c r="R62" s="632"/>
      <c r="S62" s="632"/>
      <c r="T62" s="632"/>
      <c r="U62" s="632"/>
      <c r="V62" s="633" t="s">
        <v>840</v>
      </c>
      <c r="W62" s="631"/>
      <c r="X62" s="632"/>
      <c r="Y62" s="632"/>
      <c r="Z62" s="632"/>
      <c r="AA62" s="632"/>
      <c r="AB62" s="632"/>
      <c r="AC62" s="632"/>
      <c r="AD62" s="632" t="s">
        <v>840</v>
      </c>
      <c r="AE62" s="233"/>
      <c r="AF62" s="233"/>
      <c r="AG62" s="233"/>
      <c r="AH62" s="233"/>
      <c r="AI62" s="233"/>
      <c r="AJ62" s="233"/>
      <c r="AK62" s="233"/>
    </row>
    <row r="63" spans="1:37">
      <c r="F63" s="734" t="s">
        <v>836</v>
      </c>
      <c r="G63" s="734"/>
      <c r="H63" s="734"/>
      <c r="I63" s="734"/>
      <c r="J63" s="734"/>
      <c r="K63" s="734"/>
      <c r="L63" s="734"/>
      <c r="M63" s="734"/>
      <c r="N63" s="735"/>
      <c r="O63" s="631"/>
      <c r="P63" s="632"/>
      <c r="Q63" s="632"/>
      <c r="R63" s="632"/>
      <c r="S63" s="632"/>
      <c r="T63" s="632"/>
      <c r="U63" s="632"/>
      <c r="V63" s="633" t="s">
        <v>840</v>
      </c>
      <c r="W63" s="631"/>
      <c r="X63" s="632"/>
      <c r="Y63" s="632"/>
      <c r="Z63" s="632"/>
      <c r="AA63" s="632"/>
      <c r="AB63" s="632"/>
      <c r="AC63" s="632"/>
      <c r="AD63" s="632" t="s">
        <v>840</v>
      </c>
      <c r="AE63" s="233"/>
      <c r="AF63" s="233"/>
      <c r="AG63" s="233"/>
      <c r="AH63" s="233"/>
      <c r="AI63" s="233"/>
      <c r="AJ63" s="233"/>
      <c r="AK63" s="233"/>
    </row>
    <row r="64" spans="1:37">
      <c r="F64" s="734" t="s">
        <v>837</v>
      </c>
      <c r="G64" s="734"/>
      <c r="H64" s="734"/>
      <c r="I64" s="734"/>
      <c r="J64" s="734"/>
      <c r="K64" s="734"/>
      <c r="L64" s="734"/>
      <c r="M64" s="734"/>
      <c r="N64" s="735"/>
      <c r="O64" s="631"/>
      <c r="P64" s="632"/>
      <c r="Q64" s="632"/>
      <c r="R64" s="632"/>
      <c r="S64" s="632"/>
      <c r="T64" s="632"/>
      <c r="U64" s="632"/>
      <c r="V64" s="633" t="s">
        <v>840</v>
      </c>
      <c r="W64" s="631"/>
      <c r="X64" s="632"/>
      <c r="Y64" s="632"/>
      <c r="Z64" s="632"/>
      <c r="AA64" s="632"/>
      <c r="AB64" s="632"/>
      <c r="AC64" s="632"/>
      <c r="AD64" s="632" t="s">
        <v>840</v>
      </c>
      <c r="AE64" s="233"/>
      <c r="AF64" s="233"/>
      <c r="AG64" s="233"/>
      <c r="AH64" s="233"/>
      <c r="AI64" s="233"/>
      <c r="AJ64" s="233"/>
      <c r="AK64" s="233"/>
    </row>
    <row r="65" spans="1:38">
      <c r="A65" s="233"/>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row>
    <row r="66" spans="1:38">
      <c r="A66" s="233"/>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row>
    <row r="67" spans="1:38">
      <c r="A67" s="233"/>
      <c r="B67" s="233"/>
      <c r="C67" s="233"/>
      <c r="D67" s="233"/>
      <c r="E67" s="233"/>
      <c r="F67" s="233"/>
      <c r="G67" s="233"/>
      <c r="H67" s="233"/>
      <c r="I67" s="233"/>
      <c r="J67" s="233"/>
      <c r="K67" s="233"/>
      <c r="L67" s="233"/>
      <c r="M67" s="233"/>
      <c r="N67" s="235"/>
      <c r="O67" s="233"/>
      <c r="P67" s="233"/>
      <c r="Q67" s="233"/>
      <c r="R67" s="233"/>
      <c r="S67" s="233"/>
      <c r="T67" s="233"/>
      <c r="U67" s="233"/>
      <c r="V67" s="233"/>
      <c r="W67" s="233"/>
      <c r="X67" s="233"/>
      <c r="Y67" s="233"/>
      <c r="Z67" s="233"/>
      <c r="AA67" s="233"/>
      <c r="AB67" s="233"/>
      <c r="AC67" s="233"/>
      <c r="AD67" s="233"/>
      <c r="AE67" s="233"/>
      <c r="AF67" s="233"/>
      <c r="AG67" s="233"/>
      <c r="AH67" s="233"/>
      <c r="AI67" s="233"/>
      <c r="AJ67" s="233"/>
      <c r="AK67" s="233"/>
    </row>
    <row r="68" spans="1:38" ht="15">
      <c r="A68" s="240"/>
      <c r="B68" s="240"/>
      <c r="C68" s="240"/>
      <c r="D68" s="240"/>
      <c r="E68" s="586"/>
      <c r="F68" s="586"/>
      <c r="G68" s="586"/>
      <c r="H68" s="586"/>
      <c r="I68" s="586"/>
      <c r="J68" s="586"/>
      <c r="K68" s="586"/>
      <c r="L68" s="240"/>
      <c r="M68" s="240"/>
      <c r="N68" s="240"/>
      <c r="O68" s="240"/>
      <c r="P68" s="745"/>
      <c r="Q68" s="746"/>
      <c r="R68" s="746"/>
      <c r="S68" s="746"/>
      <c r="T68" s="746"/>
      <c r="U68" s="746"/>
      <c r="V68" s="746"/>
      <c r="W68" s="746"/>
      <c r="X68" s="746"/>
      <c r="Y68" s="240"/>
      <c r="Z68" s="240"/>
      <c r="AA68" s="240"/>
      <c r="AB68" s="240"/>
      <c r="AC68" s="240"/>
      <c r="AD68" s="240"/>
      <c r="AE68" s="240"/>
      <c r="AF68" s="240"/>
      <c r="AG68" s="240"/>
      <c r="AH68" s="240"/>
      <c r="AI68" s="240"/>
      <c r="AJ68" s="240"/>
      <c r="AK68" s="240"/>
      <c r="AL68" s="38"/>
    </row>
    <row r="69" spans="1:38" ht="15">
      <c r="A69" s="220"/>
      <c r="B69" s="220"/>
      <c r="C69" s="220"/>
      <c r="D69" s="220"/>
      <c r="E69" s="220"/>
      <c r="F69" s="220"/>
      <c r="G69" s="220"/>
      <c r="H69" s="220"/>
      <c r="I69" s="220"/>
      <c r="J69" s="220"/>
      <c r="K69" s="220"/>
      <c r="L69" s="220"/>
      <c r="M69" s="220"/>
      <c r="N69" s="220"/>
      <c r="O69" s="220"/>
      <c r="P69" s="235"/>
      <c r="Q69" s="235"/>
      <c r="R69" s="235"/>
      <c r="S69" s="235"/>
      <c r="T69" s="235"/>
      <c r="U69" s="235"/>
      <c r="V69" s="235"/>
      <c r="W69" s="235"/>
      <c r="X69" s="235"/>
      <c r="Y69" s="235"/>
      <c r="Z69" s="235"/>
      <c r="AA69" s="235"/>
      <c r="AB69" s="235"/>
      <c r="AC69" s="235"/>
      <c r="AD69" s="235"/>
      <c r="AE69" s="235"/>
      <c r="AF69" s="235"/>
      <c r="AG69" s="235"/>
      <c r="AH69" s="235"/>
      <c r="AI69" s="235"/>
      <c r="AJ69" s="235"/>
      <c r="AK69" s="235"/>
      <c r="AL69" s="38"/>
    </row>
    <row r="70" spans="1:38" s="43" customFormat="1" ht="15">
      <c r="A70" s="240"/>
      <c r="B70" s="240"/>
      <c r="C70" s="240"/>
      <c r="D70" s="240"/>
      <c r="E70" s="586"/>
      <c r="F70" s="586"/>
      <c r="G70" s="586"/>
      <c r="H70" s="586"/>
      <c r="I70" s="586"/>
      <c r="J70" s="586"/>
      <c r="K70" s="586"/>
      <c r="L70" s="240"/>
      <c r="M70" s="240"/>
      <c r="N70" s="240"/>
      <c r="O70" s="240"/>
      <c r="P70" s="745"/>
      <c r="Q70" s="746"/>
      <c r="R70" s="746"/>
      <c r="S70" s="746"/>
      <c r="T70" s="746"/>
      <c r="U70" s="746"/>
      <c r="V70" s="746"/>
      <c r="W70" s="746"/>
      <c r="X70" s="746"/>
      <c r="Y70" s="240"/>
      <c r="Z70" s="240"/>
      <c r="AA70" s="240"/>
      <c r="AB70" s="240"/>
      <c r="AC70" s="240"/>
      <c r="AD70" s="240"/>
      <c r="AE70" s="240"/>
      <c r="AF70" s="240"/>
      <c r="AG70" s="240"/>
      <c r="AH70" s="240"/>
      <c r="AI70" s="240"/>
      <c r="AJ70" s="240"/>
      <c r="AK70" s="240"/>
      <c r="AL70" s="586"/>
    </row>
    <row r="71" spans="1:38" s="43" customFormat="1" ht="15.75">
      <c r="A71" s="220"/>
      <c r="B71" s="220"/>
      <c r="C71" s="220"/>
      <c r="D71" s="220"/>
      <c r="E71" s="220"/>
      <c r="F71" s="220"/>
      <c r="G71" s="220"/>
      <c r="H71" s="220"/>
      <c r="I71" s="220"/>
      <c r="J71" s="220"/>
      <c r="K71" s="220"/>
      <c r="L71" s="220"/>
      <c r="M71" s="220"/>
      <c r="N71" s="220"/>
      <c r="O71" s="220"/>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586"/>
    </row>
    <row r="72" spans="1:38" s="43" customFormat="1" ht="15">
      <c r="A72" s="240"/>
      <c r="B72" s="240"/>
      <c r="C72" s="240"/>
      <c r="D72" s="240"/>
      <c r="E72" s="586"/>
      <c r="F72" s="586"/>
      <c r="G72" s="586"/>
      <c r="H72" s="586"/>
      <c r="I72" s="586"/>
      <c r="J72" s="586"/>
      <c r="K72" s="586"/>
      <c r="L72" s="240"/>
      <c r="M72" s="240"/>
      <c r="N72" s="240"/>
      <c r="O72" s="240"/>
      <c r="P72" s="745"/>
      <c r="Q72" s="746"/>
      <c r="R72" s="746"/>
      <c r="S72" s="746"/>
      <c r="T72" s="746"/>
      <c r="U72" s="746"/>
      <c r="V72" s="746"/>
      <c r="W72" s="746"/>
      <c r="X72" s="746"/>
      <c r="Y72" s="240"/>
      <c r="Z72" s="240"/>
      <c r="AA72" s="240"/>
      <c r="AB72" s="240"/>
      <c r="AC72" s="240"/>
      <c r="AD72" s="240"/>
      <c r="AE72" s="240"/>
      <c r="AF72" s="240"/>
      <c r="AG72" s="240"/>
      <c r="AH72" s="240"/>
      <c r="AI72" s="240"/>
      <c r="AJ72" s="240"/>
      <c r="AK72" s="240"/>
    </row>
    <row r="73" spans="1:38" ht="15">
      <c r="A73" s="220"/>
      <c r="B73" s="220"/>
      <c r="C73" s="220"/>
      <c r="D73" s="220"/>
      <c r="E73" s="220"/>
      <c r="F73" s="220"/>
      <c r="G73" s="220"/>
      <c r="H73" s="220"/>
      <c r="I73" s="220"/>
      <c r="J73" s="220"/>
      <c r="K73" s="220"/>
      <c r="L73" s="220"/>
      <c r="M73" s="220"/>
      <c r="N73" s="220"/>
      <c r="O73" s="220"/>
      <c r="P73" s="235"/>
      <c r="Q73" s="235"/>
      <c r="R73" s="235"/>
      <c r="S73" s="235"/>
      <c r="T73" s="235"/>
      <c r="U73" s="235"/>
      <c r="V73" s="235"/>
      <c r="W73" s="235"/>
      <c r="X73" s="235"/>
      <c r="Y73" s="235"/>
      <c r="Z73" s="235"/>
      <c r="AA73" s="235"/>
      <c r="AB73" s="235"/>
      <c r="AC73" s="235"/>
      <c r="AD73" s="235"/>
      <c r="AE73" s="235"/>
      <c r="AF73" s="235"/>
      <c r="AG73" s="235"/>
      <c r="AH73" s="235"/>
      <c r="AI73" s="235"/>
      <c r="AJ73" s="235"/>
      <c r="AK73" s="235"/>
    </row>
    <row r="74" spans="1:38">
      <c r="A74" s="233"/>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row>
  </sheetData>
  <sheetProtection password="C420" sheet="1" objects="1" scenarios="1"/>
  <mergeCells count="25">
    <mergeCell ref="F62:N62"/>
    <mergeCell ref="AE53:AF53"/>
    <mergeCell ref="P72:X72"/>
    <mergeCell ref="AB51:AD51"/>
    <mergeCell ref="E53:J53"/>
    <mergeCell ref="Y53:Z53"/>
    <mergeCell ref="P68:X68"/>
    <mergeCell ref="P70:X70"/>
    <mergeCell ref="F63:N63"/>
    <mergeCell ref="F64:N64"/>
    <mergeCell ref="O56:V56"/>
    <mergeCell ref="W56:AD56"/>
    <mergeCell ref="N51:AA51"/>
    <mergeCell ref="F57:N57"/>
    <mergeCell ref="F58:N58"/>
    <mergeCell ref="F59:N59"/>
    <mergeCell ref="F60:N60"/>
    <mergeCell ref="F61:N61"/>
    <mergeCell ref="C45:G45"/>
    <mergeCell ref="J51:M51"/>
    <mergeCell ref="A1:AK1"/>
    <mergeCell ref="K47:AK47"/>
    <mergeCell ref="K49:AK49"/>
    <mergeCell ref="A45:B45"/>
    <mergeCell ref="AE51:AK51"/>
  </mergeCells>
  <pageMargins left="0.75" right="0.75" top="0.5" bottom="0.5" header="0.5" footer="0.5"/>
  <pageSetup scale="85" orientation="portrait" r:id="rId1"/>
  <headerFooter alignWithMargins="0">
    <oddFoote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tint="-0.249977111117893"/>
  </sheetPr>
  <dimension ref="A1:K52"/>
  <sheetViews>
    <sheetView showGridLines="0" showRuler="0" topLeftCell="A13" zoomScale="90" zoomScaleNormal="90" zoomScalePageLayoutView="70" workbookViewId="0">
      <selection activeCell="L48" sqref="L48"/>
    </sheetView>
  </sheetViews>
  <sheetFormatPr defaultRowHeight="15.75"/>
  <cols>
    <col min="1" max="1" width="5.5703125" style="18" customWidth="1"/>
    <col min="2" max="2" width="16.28515625" style="18" customWidth="1"/>
    <col min="3" max="3" width="16.85546875" style="18" customWidth="1"/>
    <col min="4" max="4" width="19.5703125" style="18" customWidth="1"/>
    <col min="5" max="5" width="15.85546875" style="18" customWidth="1"/>
    <col min="6" max="6" width="14.140625" style="18" customWidth="1"/>
    <col min="7" max="7" width="16.28515625" style="19" customWidth="1"/>
    <col min="8" max="8" width="10.7109375" style="18" customWidth="1"/>
    <col min="9" max="9" width="11.7109375" style="18" customWidth="1"/>
    <col min="10" max="16384" width="9.140625" style="18"/>
  </cols>
  <sheetData>
    <row r="1" spans="1:9" ht="14.25" customHeight="1">
      <c r="A1" s="747" t="s">
        <v>804</v>
      </c>
      <c r="B1" s="748"/>
      <c r="C1" s="748"/>
      <c r="D1" s="748"/>
      <c r="E1" s="748"/>
      <c r="F1" s="588" t="s">
        <v>422</v>
      </c>
      <c r="G1" s="753">
        <f>'Site Evaluation'!J1</f>
        <v>2345</v>
      </c>
      <c r="H1" s="753"/>
      <c r="I1" s="754"/>
    </row>
    <row r="2" spans="1:9" ht="14.25" customHeight="1">
      <c r="A2" s="749"/>
      <c r="B2" s="750"/>
      <c r="C2" s="750"/>
      <c r="D2" s="750"/>
      <c r="E2" s="750"/>
      <c r="F2" s="587" t="s">
        <v>803</v>
      </c>
      <c r="G2" s="751" t="str">
        <f>IF(ISBLANK('Site Evaluation'!B6),"",'Site Evaluation'!B6)</f>
        <v/>
      </c>
      <c r="H2" s="751"/>
      <c r="I2" s="752"/>
    </row>
    <row r="3" spans="1:9">
      <c r="A3" s="242"/>
      <c r="B3" s="242"/>
      <c r="C3" s="242"/>
      <c r="D3" s="242"/>
      <c r="E3" s="242"/>
      <c r="F3" s="242"/>
      <c r="G3" s="242"/>
      <c r="H3" s="242"/>
      <c r="I3" s="242"/>
    </row>
    <row r="4" spans="1:9">
      <c r="A4" s="242"/>
      <c r="B4" s="764" t="s">
        <v>264</v>
      </c>
      <c r="C4" s="765"/>
      <c r="D4" s="755" t="str">
        <f>IF(ISBLANK('Site Evaluation'!B4),"",'Site Evaluation'!B4)</f>
        <v/>
      </c>
      <c r="E4" s="756"/>
      <c r="F4" s="757"/>
      <c r="G4" s="243"/>
      <c r="H4" s="244"/>
      <c r="I4" s="242"/>
    </row>
    <row r="5" spans="1:9" ht="8.25" customHeight="1">
      <c r="A5" s="242"/>
      <c r="B5" s="242"/>
      <c r="C5" s="244"/>
      <c r="D5" s="244"/>
      <c r="E5" s="244"/>
      <c r="F5" s="242"/>
      <c r="G5" s="243"/>
      <c r="H5" s="244"/>
      <c r="I5" s="242"/>
    </row>
    <row r="6" spans="1:9">
      <c r="A6" s="242"/>
      <c r="B6" s="764" t="s">
        <v>263</v>
      </c>
      <c r="C6" s="765"/>
      <c r="D6" s="758" t="str">
        <f>IF(ISBLANK('Site Evaluation'!B6),"",'Site Evaluation'!B6)</f>
        <v/>
      </c>
      <c r="E6" s="759"/>
      <c r="F6" s="759"/>
      <c r="G6" s="760"/>
      <c r="H6" s="244"/>
      <c r="I6" s="242"/>
    </row>
    <row r="7" spans="1:9" ht="6.75" customHeight="1">
      <c r="A7" s="242"/>
      <c r="B7" s="243"/>
      <c r="C7" s="245"/>
      <c r="D7" s="245"/>
      <c r="E7" s="245"/>
      <c r="F7" s="245"/>
      <c r="G7" s="245"/>
      <c r="H7" s="244"/>
      <c r="I7" s="242"/>
    </row>
    <row r="8" spans="1:9">
      <c r="A8" s="242"/>
      <c r="B8" s="764" t="s">
        <v>265</v>
      </c>
      <c r="C8" s="765"/>
      <c r="D8" s="761"/>
      <c r="E8" s="762"/>
      <c r="F8" s="763"/>
      <c r="G8" s="243"/>
      <c r="H8" s="244"/>
      <c r="I8" s="242"/>
    </row>
    <row r="9" spans="1:9" ht="6.75" customHeight="1">
      <c r="A9" s="242"/>
      <c r="B9" s="242"/>
      <c r="C9" s="244"/>
      <c r="D9" s="244"/>
      <c r="E9" s="244"/>
      <c r="F9" s="242"/>
      <c r="G9" s="243"/>
      <c r="H9" s="244"/>
      <c r="I9" s="242"/>
    </row>
    <row r="10" spans="1:9">
      <c r="A10" s="242"/>
      <c r="B10" s="764" t="s">
        <v>267</v>
      </c>
      <c r="C10" s="769"/>
      <c r="D10" s="758" t="str">
        <f>IF(ISBLANK('Site Evaluation'!B13),"",'Site Evaluation'!B13)</f>
        <v/>
      </c>
      <c r="E10" s="760"/>
      <c r="F10" s="242"/>
      <c r="G10" s="770" t="s">
        <v>266</v>
      </c>
      <c r="H10" s="771"/>
      <c r="I10" s="246">
        <f>IF(ISBLANK('Site Evaluation'!G13),"",'Site Evaluation'!G13)</f>
        <v>45678</v>
      </c>
    </row>
    <row r="11" spans="1:9">
      <c r="A11" s="242"/>
      <c r="B11" s="242"/>
      <c r="C11" s="242"/>
      <c r="D11" s="242"/>
      <c r="E11" s="242"/>
      <c r="F11" s="242"/>
      <c r="G11" s="242"/>
      <c r="H11" s="244"/>
      <c r="I11" s="242"/>
    </row>
    <row r="12" spans="1:9">
      <c r="A12" s="242"/>
      <c r="B12" s="242" t="s">
        <v>262</v>
      </c>
      <c r="C12" s="247"/>
      <c r="D12" s="248" t="s">
        <v>261</v>
      </c>
      <c r="E12" s="247"/>
      <c r="F12" s="242" t="s">
        <v>29</v>
      </c>
      <c r="G12" s="242"/>
      <c r="H12" s="244"/>
      <c r="I12" s="242"/>
    </row>
    <row r="13" spans="1:9">
      <c r="A13" s="242"/>
      <c r="B13" s="242"/>
      <c r="C13" s="242"/>
      <c r="D13" s="242"/>
      <c r="E13" s="244"/>
      <c r="F13" s="244"/>
      <c r="G13" s="243"/>
      <c r="H13" s="244"/>
      <c r="I13" s="242"/>
    </row>
    <row r="14" spans="1:9">
      <c r="A14" s="242"/>
      <c r="B14" s="244" t="s">
        <v>260</v>
      </c>
      <c r="C14" s="761"/>
      <c r="D14" s="762"/>
      <c r="E14" s="763"/>
      <c r="F14" s="244"/>
      <c r="G14" s="248" t="s">
        <v>495</v>
      </c>
      <c r="H14" s="247"/>
      <c r="I14" s="242" t="s">
        <v>29</v>
      </c>
    </row>
    <row r="15" spans="1:9">
      <c r="A15" s="242"/>
      <c r="B15" s="242"/>
      <c r="C15" s="242"/>
      <c r="D15" s="242"/>
      <c r="E15" s="244"/>
      <c r="F15" s="244"/>
      <c r="G15" s="243"/>
      <c r="H15" s="244"/>
      <c r="I15" s="242"/>
    </row>
    <row r="16" spans="1:9">
      <c r="A16" s="242"/>
      <c r="B16" s="249" t="s">
        <v>259</v>
      </c>
      <c r="C16" s="243"/>
      <c r="D16" s="761"/>
      <c r="E16" s="763"/>
      <c r="F16" s="242"/>
      <c r="G16" s="242"/>
      <c r="H16" s="244"/>
      <c r="I16" s="242"/>
    </row>
    <row r="17" spans="1:9">
      <c r="A17" s="242"/>
      <c r="B17" s="249"/>
      <c r="C17" s="243"/>
      <c r="D17" s="244"/>
      <c r="E17" s="244"/>
      <c r="F17" s="242"/>
      <c r="G17" s="242"/>
      <c r="H17" s="244"/>
      <c r="I17" s="242"/>
    </row>
    <row r="18" spans="1:9">
      <c r="A18" s="242"/>
      <c r="B18" s="242" t="s">
        <v>258</v>
      </c>
      <c r="C18" s="242"/>
      <c r="D18" s="247"/>
      <c r="E18" s="242" t="s">
        <v>29</v>
      </c>
      <c r="F18" s="249" t="s">
        <v>257</v>
      </c>
      <c r="G18" s="242"/>
      <c r="H18" s="247"/>
      <c r="I18" s="244" t="s">
        <v>29</v>
      </c>
    </row>
    <row r="19" spans="1:9">
      <c r="A19" s="242"/>
      <c r="B19" s="249"/>
      <c r="C19" s="243"/>
      <c r="D19" s="244"/>
      <c r="E19" s="244"/>
      <c r="F19" s="242"/>
      <c r="G19" s="242"/>
      <c r="H19" s="244"/>
      <c r="I19" s="242"/>
    </row>
    <row r="20" spans="1:9">
      <c r="A20" s="242"/>
      <c r="B20" s="242" t="s">
        <v>256</v>
      </c>
      <c r="C20" s="242"/>
      <c r="D20" s="250"/>
      <c r="E20" s="242"/>
      <c r="F20" s="242" t="s">
        <v>250</v>
      </c>
      <c r="G20" s="251"/>
      <c r="H20" s="244"/>
      <c r="I20" s="242"/>
    </row>
    <row r="21" spans="1:9">
      <c r="A21" s="242"/>
      <c r="B21" s="242"/>
      <c r="C21" s="242"/>
      <c r="D21" s="244"/>
      <c r="E21" s="242"/>
      <c r="F21" s="244"/>
      <c r="G21" s="243"/>
      <c r="H21" s="244"/>
      <c r="I21" s="242"/>
    </row>
    <row r="22" spans="1:9">
      <c r="A22" s="242"/>
      <c r="B22" s="242" t="s">
        <v>255</v>
      </c>
      <c r="C22" s="242"/>
      <c r="D22" s="247"/>
      <c r="E22" s="768" t="s">
        <v>440</v>
      </c>
      <c r="F22" s="764"/>
    </row>
    <row r="23" spans="1:9">
      <c r="A23" s="242"/>
      <c r="B23" s="242"/>
      <c r="C23" s="242"/>
      <c r="D23" s="242"/>
      <c r="E23" s="242"/>
      <c r="F23" s="244"/>
      <c r="G23" s="243"/>
      <c r="H23" s="244"/>
      <c r="I23" s="242"/>
    </row>
    <row r="24" spans="1:9">
      <c r="A24" s="242"/>
      <c r="B24" s="242" t="s">
        <v>254</v>
      </c>
      <c r="C24" s="242"/>
      <c r="D24" s="242"/>
      <c r="E24" s="242"/>
      <c r="F24" s="761"/>
      <c r="G24" s="763"/>
      <c r="H24" s="244"/>
      <c r="I24" s="242"/>
    </row>
    <row r="25" spans="1:9">
      <c r="A25" s="242"/>
      <c r="B25" s="242"/>
      <c r="C25" s="242"/>
      <c r="D25" s="242"/>
      <c r="E25" s="242"/>
      <c r="F25" s="244"/>
      <c r="G25" s="243"/>
      <c r="H25" s="244"/>
      <c r="I25" s="242"/>
    </row>
    <row r="26" spans="1:9">
      <c r="A26" s="242"/>
      <c r="B26" s="242" t="s">
        <v>253</v>
      </c>
      <c r="C26" s="242"/>
      <c r="D26" s="252"/>
      <c r="E26" s="242"/>
      <c r="F26" s="242" t="s">
        <v>252</v>
      </c>
      <c r="G26" s="251"/>
      <c r="H26" s="243"/>
      <c r="I26" s="242"/>
    </row>
    <row r="27" spans="1:9" ht="21" customHeight="1">
      <c r="A27" s="242"/>
      <c r="B27" s="242"/>
      <c r="C27" s="242"/>
      <c r="D27" s="245"/>
      <c r="E27" s="242"/>
      <c r="F27" s="242"/>
      <c r="G27" s="243"/>
      <c r="H27" s="242"/>
      <c r="I27" s="242"/>
    </row>
    <row r="28" spans="1:9">
      <c r="A28" s="242"/>
      <c r="B28" s="242" t="s">
        <v>251</v>
      </c>
      <c r="C28" s="242"/>
      <c r="D28" s="250"/>
      <c r="E28" s="242"/>
      <c r="F28" s="242" t="s">
        <v>250</v>
      </c>
      <c r="G28" s="251"/>
      <c r="H28" s="243"/>
      <c r="I28" s="242"/>
    </row>
    <row r="29" spans="1:9">
      <c r="A29" s="242"/>
      <c r="B29" s="242"/>
      <c r="C29" s="242"/>
      <c r="D29" s="244"/>
      <c r="E29" s="242"/>
      <c r="F29" s="244"/>
      <c r="G29" s="243"/>
      <c r="H29" s="242"/>
      <c r="I29" s="242"/>
    </row>
    <row r="30" spans="1:9">
      <c r="A30" s="242"/>
      <c r="B30" s="242" t="s">
        <v>249</v>
      </c>
      <c r="C30" s="242"/>
      <c r="D30" s="242"/>
      <c r="E30" s="247"/>
      <c r="F30" s="244" t="s">
        <v>29</v>
      </c>
      <c r="G30" s="243"/>
      <c r="H30" s="242"/>
      <c r="I30" s="242"/>
    </row>
    <row r="31" spans="1:9">
      <c r="A31" s="242"/>
      <c r="B31" s="242"/>
      <c r="C31" s="242"/>
      <c r="D31" s="242"/>
      <c r="E31" s="242"/>
      <c r="F31" s="242"/>
      <c r="G31" s="243"/>
      <c r="H31" s="242"/>
      <c r="I31" s="242"/>
    </row>
    <row r="32" spans="1:9">
      <c r="A32" s="242"/>
      <c r="B32" s="242" t="s">
        <v>248</v>
      </c>
      <c r="C32" s="242"/>
      <c r="D32" s="244"/>
      <c r="E32" s="247"/>
      <c r="F32" s="242" t="s">
        <v>128</v>
      </c>
      <c r="G32" s="242"/>
      <c r="H32" s="242"/>
      <c r="I32" s="242"/>
    </row>
    <row r="33" spans="1:9">
      <c r="A33" s="242"/>
      <c r="B33" s="242"/>
      <c r="C33" s="242"/>
      <c r="D33" s="242"/>
      <c r="E33" s="242"/>
      <c r="F33" s="242"/>
      <c r="G33" s="243"/>
      <c r="H33" s="242"/>
      <c r="I33" s="242"/>
    </row>
    <row r="34" spans="1:9" ht="16.5" thickBot="1">
      <c r="A34" s="242"/>
      <c r="B34" s="253" t="s">
        <v>247</v>
      </c>
      <c r="C34" s="242"/>
      <c r="D34" s="242"/>
      <c r="E34" s="242"/>
      <c r="F34" s="242"/>
      <c r="G34" s="243"/>
      <c r="H34" s="242"/>
      <c r="I34" s="242"/>
    </row>
    <row r="35" spans="1:9" ht="51.75" customHeight="1" thickTop="1">
      <c r="A35" s="46" t="s">
        <v>246</v>
      </c>
      <c r="B35" s="45" t="s">
        <v>245</v>
      </c>
      <c r="C35" s="45" t="s">
        <v>244</v>
      </c>
      <c r="D35" s="45" t="s">
        <v>243</v>
      </c>
      <c r="E35" s="45" t="s">
        <v>242</v>
      </c>
      <c r="F35" s="45" t="s">
        <v>241</v>
      </c>
      <c r="G35" s="47" t="s">
        <v>240</v>
      </c>
      <c r="H35" s="242"/>
      <c r="I35" s="242"/>
    </row>
    <row r="36" spans="1:9">
      <c r="A36" s="48">
        <v>1</v>
      </c>
      <c r="B36" s="163"/>
      <c r="C36" s="49">
        <f>B36</f>
        <v>0</v>
      </c>
      <c r="D36" s="167"/>
      <c r="E36" s="50">
        <f>IF(C36=0,0,(C36/D36))</f>
        <v>0</v>
      </c>
      <c r="F36" s="49" t="s">
        <v>239</v>
      </c>
      <c r="G36" s="51" t="s">
        <v>239</v>
      </c>
      <c r="H36" s="242"/>
      <c r="I36" s="242"/>
    </row>
    <row r="37" spans="1:9">
      <c r="A37" s="33">
        <f t="shared" ref="A37:A43" si="0">A36+1</f>
        <v>2</v>
      </c>
      <c r="B37" s="164"/>
      <c r="C37" s="32">
        <f>IF((B37-B36)&lt;0, ,(B37-B36))</f>
        <v>0</v>
      </c>
      <c r="D37" s="168"/>
      <c r="E37" s="31">
        <f>IF(D37=0, 0, C37/D37)</f>
        <v>0</v>
      </c>
      <c r="F37" s="31">
        <f t="shared" ref="F37:F43" si="1">ABS(IF(D37=0,0,100*(E36-E37)/E36))</f>
        <v>0</v>
      </c>
      <c r="G37" s="30">
        <f>IF(C37=0,0, IF(F37&lt;10,"YES","NO"))</f>
        <v>0</v>
      </c>
      <c r="H37" s="242"/>
      <c r="I37" s="242"/>
    </row>
    <row r="38" spans="1:9">
      <c r="A38" s="29">
        <f t="shared" si="0"/>
        <v>3</v>
      </c>
      <c r="B38" s="165"/>
      <c r="C38" s="28">
        <f t="shared" ref="C38:C43" si="2">IF((B38-B37)&lt;0, ,(B38-B37))</f>
        <v>0</v>
      </c>
      <c r="D38" s="169"/>
      <c r="E38" s="27">
        <f>IF(D38=0, 0, C38/D38)</f>
        <v>0</v>
      </c>
      <c r="F38" s="27">
        <f>ABS(IF(D38=0,0,100*(E37-E38)/E37))</f>
        <v>0</v>
      </c>
      <c r="G38" s="26">
        <f t="shared" ref="G38:G43" si="3">IF(C38=0,0, IF(F38&lt;10,"YES","NO"))</f>
        <v>0</v>
      </c>
      <c r="H38" s="242"/>
      <c r="I38" s="242"/>
    </row>
    <row r="39" spans="1:9">
      <c r="A39" s="33">
        <f t="shared" si="0"/>
        <v>4</v>
      </c>
      <c r="B39" s="164"/>
      <c r="C39" s="32">
        <f t="shared" si="2"/>
        <v>0</v>
      </c>
      <c r="D39" s="168"/>
      <c r="E39" s="31">
        <f t="shared" ref="E39:E43" si="4">IF(D39=0, 0, C39/D39)</f>
        <v>0</v>
      </c>
      <c r="F39" s="31">
        <f t="shared" si="1"/>
        <v>0</v>
      </c>
      <c r="G39" s="30">
        <f t="shared" si="3"/>
        <v>0</v>
      </c>
      <c r="H39" s="242"/>
      <c r="I39" s="242"/>
    </row>
    <row r="40" spans="1:9">
      <c r="A40" s="29">
        <f t="shared" si="0"/>
        <v>5</v>
      </c>
      <c r="B40" s="165"/>
      <c r="C40" s="28">
        <f t="shared" si="2"/>
        <v>0</v>
      </c>
      <c r="D40" s="169"/>
      <c r="E40" s="27">
        <f t="shared" si="4"/>
        <v>0</v>
      </c>
      <c r="F40" s="27">
        <f t="shared" si="1"/>
        <v>0</v>
      </c>
      <c r="G40" s="26">
        <f t="shared" si="3"/>
        <v>0</v>
      </c>
      <c r="H40" s="242"/>
      <c r="I40" s="242"/>
    </row>
    <row r="41" spans="1:9">
      <c r="A41" s="33">
        <f t="shared" si="0"/>
        <v>6</v>
      </c>
      <c r="B41" s="164"/>
      <c r="C41" s="32">
        <f t="shared" si="2"/>
        <v>0</v>
      </c>
      <c r="D41" s="164"/>
      <c r="E41" s="31">
        <f t="shared" si="4"/>
        <v>0</v>
      </c>
      <c r="F41" s="31">
        <f t="shared" si="1"/>
        <v>0</v>
      </c>
      <c r="G41" s="30">
        <f t="shared" si="3"/>
        <v>0</v>
      </c>
      <c r="H41" s="242"/>
      <c r="I41" s="242"/>
    </row>
    <row r="42" spans="1:9">
      <c r="A42" s="29">
        <f t="shared" si="0"/>
        <v>7</v>
      </c>
      <c r="B42" s="165"/>
      <c r="C42" s="28">
        <f t="shared" si="2"/>
        <v>0</v>
      </c>
      <c r="D42" s="165"/>
      <c r="E42" s="27">
        <f t="shared" si="4"/>
        <v>0</v>
      </c>
      <c r="F42" s="27">
        <f t="shared" si="1"/>
        <v>0</v>
      </c>
      <c r="G42" s="26">
        <f t="shared" si="3"/>
        <v>0</v>
      </c>
      <c r="H42" s="242"/>
      <c r="I42" s="242"/>
    </row>
    <row r="43" spans="1:9" ht="16.5" thickBot="1">
      <c r="A43" s="25">
        <f t="shared" si="0"/>
        <v>8</v>
      </c>
      <c r="B43" s="166"/>
      <c r="C43" s="24">
        <f t="shared" si="2"/>
        <v>0</v>
      </c>
      <c r="D43" s="166"/>
      <c r="E43" s="23">
        <f t="shared" si="4"/>
        <v>0</v>
      </c>
      <c r="F43" s="23">
        <f t="shared" si="1"/>
        <v>0</v>
      </c>
      <c r="G43" s="22">
        <f t="shared" si="3"/>
        <v>0</v>
      </c>
      <c r="H43" s="242"/>
      <c r="I43" s="242"/>
    </row>
    <row r="44" spans="1:9" s="5" customFormat="1" ht="18.75" thickTop="1">
      <c r="A44" s="17"/>
      <c r="B44" s="17" t="s">
        <v>238</v>
      </c>
      <c r="C44" s="17"/>
      <c r="D44" s="17"/>
      <c r="E44" s="17"/>
      <c r="F44" s="17"/>
      <c r="G44" s="17"/>
      <c r="H44" s="254"/>
      <c r="I44" s="17"/>
    </row>
    <row r="45" spans="1:9" s="5" customFormat="1" ht="18">
      <c r="A45" s="17"/>
      <c r="B45" s="17"/>
      <c r="C45" s="17"/>
      <c r="D45" s="17"/>
      <c r="E45" s="17"/>
      <c r="F45" s="17"/>
      <c r="G45" s="17"/>
      <c r="H45" s="254"/>
      <c r="I45" s="17"/>
    </row>
    <row r="46" spans="1:9" s="5" customFormat="1" ht="18">
      <c r="A46" s="17"/>
      <c r="B46" s="766" t="s">
        <v>538</v>
      </c>
      <c r="C46" s="766"/>
      <c r="D46" s="766"/>
      <c r="E46" s="767"/>
      <c r="F46" s="255"/>
      <c r="G46" s="17" t="s">
        <v>124</v>
      </c>
      <c r="H46" s="254"/>
      <c r="I46" s="17"/>
    </row>
    <row r="47" spans="1:9" s="5" customFormat="1" ht="18">
      <c r="A47" s="17"/>
      <c r="B47" s="17"/>
      <c r="C47" s="17"/>
      <c r="D47" s="17"/>
      <c r="E47" s="17"/>
      <c r="F47" s="17"/>
      <c r="G47" s="17"/>
      <c r="H47" s="254"/>
      <c r="I47" s="17"/>
    </row>
    <row r="48" spans="1:9" s="5" customFormat="1" ht="18">
      <c r="A48" s="17"/>
      <c r="B48" s="17"/>
      <c r="C48" s="17"/>
      <c r="D48" s="17"/>
      <c r="E48" s="17"/>
      <c r="F48" s="17"/>
      <c r="G48" s="17"/>
      <c r="H48" s="254"/>
      <c r="I48" s="17"/>
    </row>
    <row r="49" spans="1:11" s="5" customFormat="1" ht="18">
      <c r="A49" s="18"/>
      <c r="B49" s="18"/>
      <c r="C49" s="18"/>
      <c r="D49" s="18"/>
      <c r="E49" s="18"/>
      <c r="F49" s="18"/>
      <c r="G49" s="19"/>
      <c r="H49" s="18"/>
      <c r="I49" s="18"/>
      <c r="J49" s="21"/>
      <c r="K49" s="21"/>
    </row>
    <row r="50" spans="1:11">
      <c r="J50" s="4"/>
      <c r="K50" s="4"/>
    </row>
    <row r="51" spans="1:11">
      <c r="J51" s="20"/>
      <c r="K51" s="20"/>
    </row>
    <row r="52" spans="1:11">
      <c r="J52" s="4"/>
      <c r="K52" s="4"/>
    </row>
  </sheetData>
  <sheetProtection password="C420" sheet="1" objects="1" scenarios="1"/>
  <mergeCells count="17">
    <mergeCell ref="D8:F8"/>
    <mergeCell ref="B8:C8"/>
    <mergeCell ref="B4:C4"/>
    <mergeCell ref="B6:C6"/>
    <mergeCell ref="B46:E46"/>
    <mergeCell ref="E22:F22"/>
    <mergeCell ref="F24:G24"/>
    <mergeCell ref="D10:E10"/>
    <mergeCell ref="C14:E14"/>
    <mergeCell ref="D16:E16"/>
    <mergeCell ref="B10:C10"/>
    <mergeCell ref="G10:H10"/>
    <mergeCell ref="A1:E2"/>
    <mergeCell ref="G2:I2"/>
    <mergeCell ref="G1:I1"/>
    <mergeCell ref="D4:F4"/>
    <mergeCell ref="D6:G6"/>
  </mergeCells>
  <pageMargins left="0.5" right="0.5" top="0.5" bottom="0.5" header="0.5" footer="0.5"/>
  <pageSetup scale="75" orientation="portrait" r:id="rId1"/>
  <headerFooter alignWithMargins="0">
    <oddFooter>&amp;RPage &amp;P of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9" tint="0.59999389629810485"/>
  </sheetPr>
  <dimension ref="A1:V139"/>
  <sheetViews>
    <sheetView showGridLines="0" zoomScale="90" zoomScaleNormal="90" workbookViewId="0">
      <selection activeCell="Q38" sqref="Q38"/>
    </sheetView>
  </sheetViews>
  <sheetFormatPr defaultRowHeight="12.75"/>
  <cols>
    <col min="1" max="1" width="3.5703125" style="3" customWidth="1"/>
    <col min="2" max="2" width="20" style="1" customWidth="1"/>
    <col min="3" max="3" width="14.42578125" style="2" customWidth="1"/>
    <col min="4" max="4" width="16.85546875" style="1" customWidth="1"/>
    <col min="5" max="5" width="10.28515625" style="2" customWidth="1"/>
    <col min="6" max="6" width="5.42578125" style="2" customWidth="1"/>
    <col min="7" max="7" width="10.7109375" style="1" customWidth="1"/>
    <col min="8" max="8" width="6.7109375" style="1" customWidth="1"/>
    <col min="9" max="9" width="11.85546875" style="1" customWidth="1"/>
    <col min="10" max="10" width="21.5703125" style="1" customWidth="1"/>
    <col min="11" max="11" width="3.7109375" style="1" customWidth="1"/>
    <col min="12" max="16384" width="9.140625" style="1"/>
  </cols>
  <sheetData>
    <row r="1" spans="1:22" s="6" customFormat="1" ht="14.25" customHeight="1">
      <c r="A1" s="775" t="s">
        <v>822</v>
      </c>
      <c r="B1" s="776"/>
      <c r="C1" s="776"/>
      <c r="D1" s="776"/>
      <c r="E1" s="776"/>
      <c r="F1" s="598"/>
      <c r="G1" s="601" t="s">
        <v>422</v>
      </c>
      <c r="H1" s="753">
        <f>'Site Map'!AE51</f>
        <v>2345</v>
      </c>
      <c r="I1" s="753"/>
      <c r="J1" s="754"/>
      <c r="K1" s="298"/>
      <c r="L1" s="70"/>
      <c r="M1" s="70"/>
      <c r="N1" s="70"/>
      <c r="O1" s="70"/>
      <c r="P1" s="70"/>
      <c r="Q1" s="70"/>
      <c r="R1" s="70"/>
      <c r="S1" s="70"/>
      <c r="T1" s="70"/>
      <c r="U1" s="70"/>
      <c r="V1" s="70"/>
    </row>
    <row r="2" spans="1:22" s="6" customFormat="1" ht="14.25" customHeight="1">
      <c r="A2" s="777"/>
      <c r="B2" s="778"/>
      <c r="C2" s="778"/>
      <c r="D2" s="778"/>
      <c r="E2" s="778"/>
      <c r="F2" s="599"/>
      <c r="G2" s="600" t="s">
        <v>803</v>
      </c>
      <c r="H2" s="751" t="str">
        <f>IF(ISBLANK('Site Evaluation'!B6),"",'Site Evaluation'!B6)</f>
        <v/>
      </c>
      <c r="I2" s="751"/>
      <c r="J2" s="752"/>
      <c r="K2" s="298"/>
      <c r="L2" s="70"/>
      <c r="M2" s="70"/>
      <c r="N2" s="70"/>
      <c r="O2" s="70"/>
      <c r="P2" s="70"/>
      <c r="Q2" s="70"/>
      <c r="R2" s="70"/>
      <c r="S2" s="70"/>
      <c r="T2" s="70"/>
      <c r="U2" s="70"/>
      <c r="V2" s="70"/>
    </row>
    <row r="3" spans="1:22" s="5" customFormat="1" ht="12.75" customHeight="1">
      <c r="A3" s="368"/>
      <c r="B3" s="242"/>
      <c r="C3" s="243"/>
      <c r="D3" s="242"/>
      <c r="E3" s="243"/>
      <c r="F3" s="243"/>
      <c r="G3" s="242"/>
      <c r="H3" s="242"/>
      <c r="I3" s="242"/>
      <c r="J3" s="242"/>
      <c r="K3" s="242"/>
      <c r="L3" s="68"/>
      <c r="M3" s="68"/>
      <c r="N3" s="68"/>
      <c r="O3" s="68"/>
      <c r="P3" s="68"/>
      <c r="Q3" s="68"/>
      <c r="R3" s="68"/>
      <c r="S3" s="68"/>
      <c r="T3" s="68"/>
      <c r="U3" s="68"/>
      <c r="V3" s="68"/>
    </row>
    <row r="4" spans="1:22" s="5" customFormat="1" ht="19.5" customHeight="1">
      <c r="A4" s="349" t="s">
        <v>57</v>
      </c>
      <c r="B4" s="350" t="s">
        <v>420</v>
      </c>
      <c r="C4" s="352"/>
      <c r="D4" s="353"/>
      <c r="E4" s="352"/>
      <c r="F4" s="352"/>
      <c r="G4" s="353"/>
      <c r="H4" s="353"/>
      <c r="I4" s="353"/>
      <c r="J4" s="355"/>
      <c r="K4" s="242"/>
      <c r="L4" s="68"/>
      <c r="M4" s="68"/>
      <c r="N4" s="68"/>
      <c r="O4" s="68"/>
      <c r="P4" s="68"/>
      <c r="Q4" s="68"/>
      <c r="R4" s="68"/>
      <c r="S4" s="68"/>
      <c r="T4" s="68"/>
      <c r="U4" s="68"/>
      <c r="V4" s="68"/>
    </row>
    <row r="5" spans="1:22" s="5" customFormat="1" ht="18">
      <c r="A5" s="297"/>
      <c r="B5" s="298"/>
      <c r="C5" s="243"/>
      <c r="D5" s="242"/>
      <c r="E5" s="243"/>
      <c r="F5" s="243"/>
      <c r="G5" s="242"/>
      <c r="H5" s="242"/>
      <c r="I5" s="242"/>
      <c r="J5" s="242"/>
      <c r="K5" s="242"/>
      <c r="L5" s="68"/>
      <c r="M5" s="68"/>
      <c r="N5" s="68"/>
      <c r="O5" s="68"/>
      <c r="P5" s="68"/>
      <c r="Q5" s="68"/>
      <c r="R5" s="68"/>
      <c r="S5" s="68"/>
      <c r="T5" s="68"/>
      <c r="U5" s="68"/>
      <c r="V5" s="68"/>
    </row>
    <row r="6" spans="1:22" ht="16.5" customHeight="1">
      <c r="A6" s="302" t="s">
        <v>139</v>
      </c>
      <c r="B6" s="244" t="s">
        <v>419</v>
      </c>
      <c r="C6" s="306">
        <f>IF(ISBLANK('Site Evaluation'!E26),"",'Site Evaluation'!E26)</f>
        <v>450</v>
      </c>
      <c r="D6" s="244" t="s">
        <v>459</v>
      </c>
      <c r="E6" s="242"/>
      <c r="F6" s="243"/>
      <c r="G6" s="242"/>
      <c r="H6" s="242"/>
      <c r="I6" s="242"/>
      <c r="J6" s="242"/>
      <c r="K6" s="242"/>
      <c r="L6" s="68"/>
      <c r="M6" s="68"/>
      <c r="T6" s="68"/>
      <c r="U6" s="68"/>
      <c r="V6" s="68"/>
    </row>
    <row r="7" spans="1:22" ht="12.75" customHeight="1">
      <c r="A7" s="302"/>
      <c r="B7" s="242"/>
      <c r="C7" s="243"/>
      <c r="D7" s="242"/>
      <c r="E7" s="243"/>
      <c r="F7" s="243"/>
      <c r="G7" s="242"/>
      <c r="H7" s="244"/>
      <c r="I7" s="244"/>
      <c r="J7" s="245"/>
      <c r="K7" s="242"/>
      <c r="L7" s="68"/>
      <c r="M7" s="68"/>
      <c r="T7" s="68"/>
      <c r="U7" s="68"/>
      <c r="V7" s="68"/>
    </row>
    <row r="8" spans="1:22" ht="19.5" customHeight="1">
      <c r="A8" s="349" t="s">
        <v>64</v>
      </c>
      <c r="B8" s="350" t="s">
        <v>418</v>
      </c>
      <c r="C8" s="352"/>
      <c r="D8" s="353"/>
      <c r="E8" s="352"/>
      <c r="F8" s="352"/>
      <c r="G8" s="353"/>
      <c r="H8" s="353"/>
      <c r="I8" s="352"/>
      <c r="J8" s="355"/>
      <c r="K8" s="242"/>
      <c r="L8" s="68"/>
      <c r="M8" s="68"/>
      <c r="T8" s="68"/>
      <c r="U8" s="68"/>
      <c r="V8" s="68"/>
    </row>
    <row r="9" spans="1:22" ht="12.75" customHeight="1">
      <c r="A9" s="297"/>
      <c r="B9" s="300"/>
      <c r="C9" s="245"/>
      <c r="D9" s="244"/>
      <c r="E9" s="245"/>
      <c r="F9" s="245"/>
      <c r="G9" s="244"/>
      <c r="H9" s="244"/>
      <c r="I9" s="245"/>
      <c r="J9" s="244"/>
      <c r="K9" s="242"/>
      <c r="L9" s="68"/>
      <c r="M9" s="68"/>
      <c r="T9" s="68"/>
      <c r="U9" s="68"/>
      <c r="V9" s="68"/>
    </row>
    <row r="10" spans="1:22" ht="15.75" customHeight="1">
      <c r="A10" s="299" t="s">
        <v>133</v>
      </c>
      <c r="B10" s="242" t="s">
        <v>641</v>
      </c>
      <c r="C10" s="243"/>
      <c r="D10" s="306">
        <f>IF(ISBLANK('Mound&gt;1%'!D14),'Mound &lt;1%'!D13,'Mound&gt;1%'!D14)</f>
        <v>1500</v>
      </c>
      <c r="E10" s="243" t="s">
        <v>0</v>
      </c>
      <c r="F10" s="243"/>
      <c r="G10" s="318" t="s">
        <v>527</v>
      </c>
      <c r="H10" s="242"/>
      <c r="I10" s="242"/>
      <c r="J10" s="306">
        <f>IF(ISBLANK('Mound&gt;1%'!D15),'Mound &lt;1%'!D14,'Mound&gt;1%'!D15)</f>
        <v>1</v>
      </c>
      <c r="K10" s="242"/>
      <c r="L10" s="68"/>
      <c r="M10" s="68"/>
      <c r="T10" s="68"/>
      <c r="U10" s="68"/>
      <c r="V10" s="68"/>
    </row>
    <row r="11" spans="1:22" ht="12.75" customHeight="1">
      <c r="A11" s="299"/>
      <c r="B11" s="242"/>
      <c r="C11" s="243"/>
      <c r="D11" s="243"/>
      <c r="E11" s="243"/>
      <c r="F11" s="243"/>
      <c r="G11" s="318"/>
      <c r="H11" s="242"/>
      <c r="I11" s="242"/>
      <c r="J11" s="245"/>
      <c r="K11" s="242"/>
      <c r="L11" s="68"/>
      <c r="M11" s="68"/>
      <c r="T11" s="68"/>
      <c r="U11" s="68"/>
      <c r="V11" s="68"/>
    </row>
    <row r="12" spans="1:22" ht="15.75" customHeight="1">
      <c r="A12" s="299" t="s">
        <v>324</v>
      </c>
      <c r="B12" s="242" t="s">
        <v>161</v>
      </c>
      <c r="C12" s="243"/>
      <c r="D12" s="306" t="str">
        <f>IF(DropDownList!Q2=TRUE,"Yes","No")</f>
        <v>No</v>
      </c>
      <c r="E12" s="243"/>
      <c r="F12" s="243"/>
      <c r="G12" s="244"/>
      <c r="H12" s="244"/>
      <c r="I12" s="244"/>
      <c r="J12" s="244"/>
      <c r="K12" s="264"/>
      <c r="L12" s="68"/>
      <c r="M12" s="68"/>
      <c r="T12" s="68"/>
      <c r="U12" s="68"/>
      <c r="V12" s="68"/>
    </row>
    <row r="13" spans="1:22" ht="12.75" customHeight="1">
      <c r="A13" s="299"/>
      <c r="B13" s="242"/>
      <c r="C13" s="264"/>
      <c r="D13" s="264"/>
      <c r="E13" s="264"/>
      <c r="F13" s="264"/>
      <c r="G13" s="264"/>
      <c r="H13" s="264"/>
      <c r="I13" s="264"/>
      <c r="J13" s="264"/>
      <c r="K13" s="264"/>
      <c r="L13" s="68"/>
      <c r="M13" s="68"/>
      <c r="T13" s="68"/>
      <c r="U13" s="68"/>
      <c r="V13" s="68"/>
    </row>
    <row r="14" spans="1:22" ht="19.5" customHeight="1">
      <c r="A14" s="349" t="s">
        <v>63</v>
      </c>
      <c r="B14" s="399" t="s">
        <v>417</v>
      </c>
      <c r="C14" s="352"/>
      <c r="D14" s="352"/>
      <c r="E14" s="352"/>
      <c r="F14" s="352"/>
      <c r="G14" s="352"/>
      <c r="H14" s="352"/>
      <c r="I14" s="353"/>
      <c r="J14" s="355"/>
      <c r="K14" s="242"/>
      <c r="L14" s="68"/>
      <c r="M14" s="68"/>
      <c r="N14" s="68"/>
      <c r="T14" s="68"/>
      <c r="U14" s="68"/>
      <c r="V14" s="68"/>
    </row>
    <row r="15" spans="1:22" ht="12.75" customHeight="1" thickBot="1">
      <c r="A15" s="297"/>
      <c r="B15" s="389"/>
      <c r="C15" s="245"/>
      <c r="D15" s="245"/>
      <c r="E15" s="245"/>
      <c r="F15" s="245"/>
      <c r="G15" s="245"/>
      <c r="H15" s="245"/>
      <c r="I15" s="242"/>
      <c r="J15" s="242"/>
      <c r="K15" s="242"/>
      <c r="L15" s="68"/>
      <c r="M15" s="68"/>
      <c r="N15" s="68"/>
      <c r="T15" s="68"/>
      <c r="U15" s="68"/>
      <c r="V15" s="68"/>
    </row>
    <row r="16" spans="1:22" ht="16.5" thickBot="1">
      <c r="A16" s="299" t="s">
        <v>120</v>
      </c>
      <c r="B16" s="390" t="s">
        <v>416</v>
      </c>
      <c r="C16" s="245"/>
      <c r="D16" s="391" t="str">
        <f>IF(I16&gt;0,"Yes","No")</f>
        <v>Yes</v>
      </c>
      <c r="E16" s="245"/>
      <c r="F16" s="245"/>
      <c r="G16" s="392" t="s">
        <v>415</v>
      </c>
      <c r="H16" s="245"/>
      <c r="I16" s="594">
        <f>IF(ISBLANK(Pump!F61),"",Pump!F61)</f>
        <v>38.479999999999997</v>
      </c>
      <c r="J16" s="242" t="s">
        <v>0</v>
      </c>
      <c r="K16" s="242"/>
      <c r="L16" s="68"/>
      <c r="M16" s="68"/>
      <c r="N16" s="68"/>
      <c r="O16" s="593"/>
      <c r="T16" s="68"/>
      <c r="U16" s="68"/>
      <c r="V16" s="68"/>
    </row>
    <row r="17" spans="1:22" ht="12.75" customHeight="1">
      <c r="A17" s="299"/>
      <c r="B17" s="245"/>
      <c r="C17" s="245"/>
      <c r="D17" s="245"/>
      <c r="E17" s="245"/>
      <c r="F17" s="245"/>
      <c r="G17" s="245"/>
      <c r="H17" s="245"/>
      <c r="I17" s="242"/>
      <c r="J17" s="242"/>
      <c r="K17" s="242"/>
      <c r="L17" s="68"/>
      <c r="M17" s="68"/>
      <c r="N17" s="68"/>
      <c r="T17" s="68"/>
      <c r="U17" s="68"/>
      <c r="V17" s="68"/>
    </row>
    <row r="18" spans="1:22" ht="12.75" customHeight="1">
      <c r="A18" s="242"/>
      <c r="B18" s="242"/>
      <c r="C18" s="242"/>
      <c r="D18" s="242"/>
      <c r="E18" s="242"/>
      <c r="F18" s="242"/>
      <c r="G18" s="242"/>
      <c r="H18" s="242"/>
      <c r="I18" s="242"/>
      <c r="J18" s="242"/>
      <c r="K18" s="242"/>
      <c r="L18" s="68"/>
      <c r="M18" s="68"/>
      <c r="N18" s="68"/>
      <c r="T18" s="68"/>
      <c r="U18" s="68"/>
      <c r="V18" s="68"/>
    </row>
    <row r="19" spans="1:22" ht="12.75" customHeight="1">
      <c r="A19" s="271"/>
      <c r="B19" s="264"/>
      <c r="C19" s="263"/>
      <c r="D19" s="264"/>
      <c r="E19" s="263"/>
      <c r="F19" s="263"/>
      <c r="G19" s="264"/>
      <c r="H19" s="264"/>
      <c r="I19" s="264"/>
      <c r="J19" s="264"/>
      <c r="K19" s="242"/>
      <c r="L19" s="68"/>
      <c r="M19" s="68"/>
      <c r="N19" s="68"/>
      <c r="T19" s="68"/>
      <c r="U19" s="68"/>
      <c r="V19" s="68"/>
    </row>
    <row r="20" spans="1:22" ht="19.5" customHeight="1">
      <c r="A20" s="400" t="s">
        <v>37</v>
      </c>
      <c r="B20" s="401" t="s">
        <v>591</v>
      </c>
      <c r="C20" s="402"/>
      <c r="D20" s="350"/>
      <c r="E20" s="402"/>
      <c r="F20" s="348"/>
      <c r="G20" s="293"/>
      <c r="H20" s="293"/>
      <c r="I20" s="293"/>
      <c r="J20" s="292"/>
      <c r="K20" s="242"/>
      <c r="L20" s="68"/>
      <c r="M20" s="68"/>
      <c r="N20" s="68"/>
      <c r="T20" s="68"/>
      <c r="U20" s="68"/>
      <c r="V20" s="68"/>
    </row>
    <row r="21" spans="1:22" ht="12.75" customHeight="1" thickBot="1">
      <c r="A21" s="393"/>
      <c r="B21" s="297"/>
      <c r="C21" s="374"/>
      <c r="D21" s="298"/>
      <c r="E21" s="374"/>
      <c r="F21" s="263"/>
      <c r="G21" s="264"/>
      <c r="H21" s="264"/>
      <c r="I21" s="264"/>
      <c r="J21" s="264"/>
      <c r="K21" s="242"/>
      <c r="L21" s="68"/>
      <c r="M21" s="68"/>
      <c r="N21" s="68"/>
      <c r="T21" s="68"/>
      <c r="U21" s="68"/>
      <c r="V21" s="68"/>
    </row>
    <row r="22" spans="1:22" ht="16.5" thickBot="1">
      <c r="A22" s="299" t="s">
        <v>117</v>
      </c>
      <c r="B22" s="242" t="s">
        <v>414</v>
      </c>
      <c r="C22" s="243"/>
      <c r="D22" s="394">
        <f>'Site Evaluation'!H59</f>
        <v>4</v>
      </c>
      <c r="E22" s="242" t="s">
        <v>26</v>
      </c>
      <c r="F22" s="263"/>
      <c r="G22" s="264"/>
      <c r="H22" s="264"/>
      <c r="I22" s="264"/>
      <c r="J22" s="264"/>
      <c r="K22" s="242"/>
      <c r="L22" s="68"/>
      <c r="M22" s="68"/>
      <c r="N22" s="68"/>
      <c r="T22" s="68"/>
      <c r="U22" s="68"/>
      <c r="V22" s="68"/>
    </row>
    <row r="23" spans="1:22" ht="16.5" thickBot="1">
      <c r="A23" s="299"/>
      <c r="B23" s="264"/>
      <c r="C23" s="264"/>
      <c r="D23" s="264"/>
      <c r="E23" s="264"/>
      <c r="F23" s="264"/>
      <c r="G23" s="245"/>
      <c r="H23" s="242"/>
      <c r="I23" s="242"/>
      <c r="J23" s="242"/>
      <c r="K23" s="242"/>
      <c r="L23" s="68"/>
      <c r="M23" s="68"/>
      <c r="N23" s="68"/>
      <c r="T23" s="68"/>
      <c r="U23" s="68"/>
      <c r="V23" s="68"/>
    </row>
    <row r="24" spans="1:22" ht="16.5" thickBot="1">
      <c r="A24" s="299" t="s">
        <v>114</v>
      </c>
      <c r="B24" s="242" t="s">
        <v>413</v>
      </c>
      <c r="C24" s="243"/>
      <c r="D24" s="242"/>
      <c r="E24" s="309">
        <f>D22</f>
        <v>4</v>
      </c>
      <c r="F24" s="245" t="s">
        <v>219</v>
      </c>
      <c r="G24" s="306">
        <v>3</v>
      </c>
      <c r="H24" s="245" t="s">
        <v>65</v>
      </c>
      <c r="I24" s="347">
        <f>E24-G24</f>
        <v>1</v>
      </c>
      <c r="J24" s="242" t="s">
        <v>26</v>
      </c>
      <c r="K24" s="242"/>
      <c r="L24" s="68"/>
      <c r="M24" s="68"/>
      <c r="N24" s="68"/>
      <c r="T24" s="68"/>
      <c r="U24" s="68"/>
      <c r="V24" s="68"/>
    </row>
    <row r="25" spans="1:22" ht="14.25" customHeight="1" thickBot="1">
      <c r="A25" s="299"/>
      <c r="B25" s="264"/>
      <c r="C25" s="264"/>
      <c r="D25" s="264"/>
      <c r="E25" s="264"/>
      <c r="F25" s="264"/>
      <c r="G25" s="242"/>
      <c r="H25" s="300"/>
      <c r="I25" s="244"/>
      <c r="J25" s="244"/>
      <c r="K25" s="242"/>
      <c r="L25" s="68"/>
      <c r="M25" s="68"/>
      <c r="N25" s="68"/>
      <c r="T25" s="68"/>
      <c r="U25" s="68"/>
      <c r="V25" s="68"/>
    </row>
    <row r="26" spans="1:22" ht="15" customHeight="1" thickBot="1">
      <c r="A26" s="299" t="s">
        <v>108</v>
      </c>
      <c r="B26" s="242" t="s">
        <v>126</v>
      </c>
      <c r="C26" s="773" t="str">
        <f>IF(ISBLANK('Site Evaluation'!C47),"",'Site Evaluation'!C47)</f>
        <v>Clay Loam</v>
      </c>
      <c r="D26" s="774"/>
      <c r="E26" s="243"/>
      <c r="F26" s="243"/>
      <c r="G26" s="318" t="s">
        <v>412</v>
      </c>
      <c r="H26" s="318"/>
      <c r="I26" s="391">
        <f>IF(DropDownList!N2=1,'Site Evaluation'!H69,'Site Evaluation'!E71)</f>
        <v>45</v>
      </c>
      <c r="J26" s="242" t="s">
        <v>59</v>
      </c>
      <c r="K26" s="242"/>
      <c r="L26" s="68"/>
      <c r="M26" s="68"/>
      <c r="N26" s="68"/>
      <c r="T26" s="68"/>
      <c r="U26" s="68"/>
      <c r="V26" s="68"/>
    </row>
    <row r="27" spans="1:22" ht="16.5" thickBot="1">
      <c r="A27" s="299"/>
      <c r="B27" s="264"/>
      <c r="C27" s="264"/>
      <c r="D27" s="264"/>
      <c r="E27" s="264"/>
      <c r="F27" s="264"/>
      <c r="G27" s="242"/>
      <c r="H27" s="244"/>
      <c r="I27" s="395" t="s">
        <v>411</v>
      </c>
      <c r="J27" s="244"/>
      <c r="K27" s="242"/>
      <c r="L27" s="68"/>
      <c r="M27" s="68"/>
      <c r="N27" s="68"/>
      <c r="T27" s="68"/>
      <c r="U27" s="68"/>
      <c r="V27" s="68"/>
    </row>
    <row r="28" spans="1:22" ht="19.5" customHeight="1" thickBot="1">
      <c r="A28" s="299" t="s">
        <v>74</v>
      </c>
      <c r="B28" s="242" t="s">
        <v>410</v>
      </c>
      <c r="C28" s="391">
        <f>IF(ISBLANK('Site Evaluation'!E65),"",'Site Evaluation'!E65)</f>
        <v>2.2000000000000002</v>
      </c>
      <c r="D28" s="242" t="s">
        <v>642</v>
      </c>
      <c r="E28" s="243"/>
      <c r="F28" s="264"/>
      <c r="G28" s="242"/>
      <c r="H28" s="244"/>
      <c r="I28" s="244"/>
      <c r="J28" s="244"/>
      <c r="K28" s="242"/>
      <c r="L28" s="68"/>
      <c r="M28" s="68"/>
      <c r="N28" s="68"/>
      <c r="T28" s="68"/>
      <c r="U28" s="68"/>
      <c r="V28" s="68"/>
    </row>
    <row r="29" spans="1:22" ht="12.75" customHeight="1" thickBot="1">
      <c r="A29" s="299"/>
      <c r="B29" s="264"/>
      <c r="C29" s="264"/>
      <c r="D29" s="264"/>
      <c r="E29" s="264"/>
      <c r="F29" s="264"/>
      <c r="G29" s="245"/>
      <c r="H29" s="242"/>
      <c r="I29" s="242"/>
      <c r="J29" s="242"/>
      <c r="K29" s="242"/>
      <c r="L29" s="68"/>
      <c r="M29" s="68"/>
      <c r="N29" s="68"/>
      <c r="T29" s="68"/>
      <c r="U29" s="68"/>
      <c r="V29" s="68"/>
    </row>
    <row r="30" spans="1:22" ht="16.5" thickBot="1">
      <c r="A30" s="299" t="s">
        <v>409</v>
      </c>
      <c r="B30" s="242" t="s">
        <v>408</v>
      </c>
      <c r="C30" s="347">
        <f>IF(ISBLANK('Site Evaluation'!E61),"",'Site Evaluation'!E61)</f>
        <v>3</v>
      </c>
      <c r="D30" s="242" t="s">
        <v>121</v>
      </c>
      <c r="E30" s="264"/>
      <c r="F30" s="264"/>
      <c r="G30" s="264"/>
      <c r="H30" s="245"/>
      <c r="I30" s="242"/>
      <c r="J30" s="242"/>
      <c r="K30" s="242"/>
      <c r="L30" s="68"/>
      <c r="M30" s="68"/>
      <c r="N30" s="68"/>
      <c r="T30" s="68"/>
      <c r="U30" s="68"/>
      <c r="V30" s="68"/>
    </row>
    <row r="31" spans="1:22" ht="12.75" customHeight="1">
      <c r="A31" s="299"/>
      <c r="B31" s="264"/>
      <c r="C31" s="264"/>
      <c r="D31" s="264"/>
      <c r="E31" s="264"/>
      <c r="F31" s="264"/>
      <c r="G31" s="264"/>
      <c r="H31" s="245"/>
      <c r="I31" s="242"/>
      <c r="J31" s="242"/>
      <c r="K31" s="242"/>
      <c r="L31" s="68"/>
      <c r="M31" s="68"/>
      <c r="N31" s="68"/>
      <c r="T31" s="68"/>
      <c r="U31" s="68"/>
      <c r="V31" s="68"/>
    </row>
    <row r="32" spans="1:22" ht="8.25" customHeight="1">
      <c r="A32" s="242"/>
      <c r="B32" s="242"/>
      <c r="C32" s="242"/>
      <c r="D32" s="242"/>
      <c r="E32" s="242"/>
      <c r="F32" s="242"/>
      <c r="G32" s="242"/>
      <c r="H32" s="242"/>
      <c r="I32" s="242"/>
      <c r="J32" s="242"/>
      <c r="K32" s="242"/>
      <c r="L32" s="68"/>
      <c r="M32" s="68"/>
      <c r="N32" s="68"/>
      <c r="T32" s="68"/>
      <c r="U32" s="68"/>
      <c r="V32" s="68"/>
    </row>
    <row r="33" spans="1:22" ht="19.5" customHeight="1">
      <c r="A33" s="400" t="s">
        <v>123</v>
      </c>
      <c r="B33" s="350" t="s">
        <v>646</v>
      </c>
      <c r="C33" s="293"/>
      <c r="D33" s="293"/>
      <c r="E33" s="293"/>
      <c r="F33" s="293"/>
      <c r="G33" s="293"/>
      <c r="H33" s="293"/>
      <c r="I33" s="293"/>
      <c r="J33" s="292"/>
      <c r="K33" s="242"/>
      <c r="L33" s="68"/>
      <c r="M33" s="68"/>
      <c r="N33" s="68"/>
      <c r="T33" s="68"/>
      <c r="U33" s="68"/>
      <c r="V33" s="68"/>
    </row>
    <row r="34" spans="1:22" ht="12.75" customHeight="1">
      <c r="A34" s="68"/>
      <c r="B34" s="68"/>
      <c r="C34" s="68"/>
      <c r="D34" s="68"/>
      <c r="E34" s="68"/>
      <c r="F34" s="68"/>
      <c r="G34" s="68"/>
      <c r="H34" s="68"/>
      <c r="I34" s="68"/>
      <c r="J34" s="68"/>
      <c r="K34" s="68"/>
      <c r="L34" s="68"/>
      <c r="M34" s="68"/>
      <c r="N34" s="68"/>
      <c r="T34" s="68"/>
      <c r="U34" s="68"/>
      <c r="V34" s="68"/>
    </row>
    <row r="35" spans="1:22" ht="17.25" customHeight="1">
      <c r="B35" s="643" t="s">
        <v>807</v>
      </c>
      <c r="C35" s="644"/>
      <c r="D35" s="298"/>
      <c r="E35" s="298" t="s">
        <v>407</v>
      </c>
      <c r="F35" s="298"/>
      <c r="G35" s="242"/>
      <c r="H35" s="242"/>
      <c r="I35" s="298" t="s">
        <v>406</v>
      </c>
      <c r="J35" s="242"/>
      <c r="K35" s="242"/>
      <c r="L35" s="68"/>
      <c r="M35" s="68"/>
      <c r="N35" s="68"/>
      <c r="T35" s="68"/>
      <c r="U35" s="68"/>
      <c r="V35" s="68"/>
    </row>
    <row r="36" spans="1:22" ht="30.75" customHeight="1">
      <c r="A36" s="393"/>
      <c r="B36" s="298"/>
      <c r="C36" s="374"/>
      <c r="D36" s="298"/>
      <c r="E36" s="298"/>
      <c r="F36" s="298"/>
      <c r="G36" s="242"/>
      <c r="H36" s="242"/>
      <c r="I36" s="298"/>
      <c r="J36" s="242"/>
      <c r="K36" s="242"/>
      <c r="L36" s="68"/>
      <c r="M36" s="68"/>
      <c r="N36" s="68"/>
      <c r="T36" s="68"/>
      <c r="U36" s="68"/>
      <c r="V36" s="68"/>
    </row>
    <row r="37" spans="1:22" ht="15.75">
      <c r="A37" s="299"/>
      <c r="B37" s="529"/>
      <c r="C37" s="249"/>
      <c r="D37" s="242"/>
      <c r="H37" s="242"/>
      <c r="I37" s="242"/>
      <c r="J37" s="242"/>
      <c r="K37" s="249"/>
      <c r="L37" s="68"/>
      <c r="M37" s="68"/>
      <c r="N37" s="68"/>
      <c r="O37" s="68"/>
      <c r="P37" s="68"/>
      <c r="Q37" s="68"/>
      <c r="R37" s="68"/>
      <c r="S37" s="68"/>
      <c r="T37" s="68"/>
      <c r="U37" s="68"/>
      <c r="V37" s="68"/>
    </row>
    <row r="38" spans="1:22" s="7" customFormat="1" ht="15.75">
      <c r="A38" s="299"/>
      <c r="B38" s="624"/>
      <c r="C38" s="529"/>
      <c r="D38" s="242"/>
      <c r="E38" s="2"/>
      <c r="F38" s="2"/>
      <c r="G38" s="1"/>
      <c r="H38" s="242"/>
      <c r="I38" s="242"/>
      <c r="J38" s="242"/>
      <c r="K38" s="242"/>
      <c r="L38" s="68"/>
      <c r="M38" s="70"/>
      <c r="N38" s="70"/>
      <c r="O38" s="70"/>
      <c r="P38" s="70"/>
      <c r="Q38" s="70"/>
      <c r="R38" s="70"/>
      <c r="S38" s="70"/>
      <c r="T38" s="70"/>
      <c r="U38" s="70"/>
      <c r="V38" s="70"/>
    </row>
    <row r="39" spans="1:22" ht="15.75">
      <c r="A39" s="299"/>
      <c r="B39" s="529"/>
      <c r="C39" s="529"/>
      <c r="D39" s="242"/>
      <c r="H39" s="242"/>
      <c r="I39" s="242"/>
      <c r="J39" s="242"/>
      <c r="K39" s="242"/>
      <c r="L39" s="68"/>
      <c r="M39" s="68"/>
      <c r="N39" s="68"/>
      <c r="O39" s="68"/>
      <c r="P39" s="68"/>
      <c r="Q39" s="68"/>
    </row>
    <row r="40" spans="1:22" ht="18.75" customHeight="1">
      <c r="A40" s="299"/>
      <c r="B40" s="245"/>
      <c r="C40" s="249"/>
      <c r="D40" s="242"/>
      <c r="F40" s="772"/>
      <c r="G40" s="772"/>
      <c r="H40" s="242"/>
      <c r="I40" s="242"/>
      <c r="J40" s="597"/>
      <c r="K40" s="242"/>
      <c r="L40" s="98"/>
      <c r="M40" s="68"/>
      <c r="N40" s="68"/>
      <c r="O40" s="68"/>
      <c r="P40" s="68"/>
      <c r="Q40" s="68"/>
    </row>
    <row r="41" spans="1:22" ht="21" customHeight="1">
      <c r="A41" s="299"/>
      <c r="B41" s="245" t="s">
        <v>823</v>
      </c>
      <c r="C41" s="249"/>
      <c r="D41" s="242"/>
      <c r="E41" s="245"/>
      <c r="F41" s="318"/>
      <c r="G41" s="242"/>
      <c r="H41" s="242"/>
      <c r="I41" s="242"/>
      <c r="J41" s="242"/>
      <c r="K41" s="242"/>
      <c r="L41" s="98"/>
      <c r="M41" s="68"/>
      <c r="N41" s="68"/>
      <c r="O41" s="68"/>
      <c r="P41" s="68"/>
      <c r="Q41" s="68"/>
    </row>
    <row r="42" spans="1:22" ht="19.5" customHeight="1">
      <c r="A42" s="349" t="s">
        <v>214</v>
      </c>
      <c r="B42" s="350" t="s">
        <v>405</v>
      </c>
      <c r="C42" s="352"/>
      <c r="D42" s="353"/>
      <c r="E42" s="352"/>
      <c r="F42" s="352"/>
      <c r="G42" s="352"/>
      <c r="H42" s="352"/>
      <c r="I42" s="352"/>
      <c r="J42" s="355"/>
      <c r="K42" s="242"/>
      <c r="L42" s="68"/>
      <c r="M42" s="68"/>
      <c r="N42" s="68"/>
      <c r="O42" s="68"/>
      <c r="P42" s="68"/>
      <c r="Q42" s="68"/>
    </row>
    <row r="43" spans="1:22" ht="12.75" customHeight="1">
      <c r="A43" s="264"/>
      <c r="B43" s="264"/>
      <c r="C43" s="264"/>
      <c r="D43" s="264"/>
      <c r="E43" s="264"/>
      <c r="F43" s="264"/>
      <c r="G43" s="264"/>
      <c r="H43" s="264"/>
      <c r="I43" s="264"/>
      <c r="J43" s="264"/>
      <c r="K43" s="264"/>
      <c r="L43" s="68"/>
      <c r="M43" s="68"/>
      <c r="N43" s="68"/>
      <c r="O43" s="68"/>
      <c r="P43" s="68"/>
      <c r="Q43" s="68"/>
    </row>
    <row r="44" spans="1:22" ht="15" customHeight="1">
      <c r="A44" s="299" t="s">
        <v>404</v>
      </c>
      <c r="B44" s="244" t="s">
        <v>533</v>
      </c>
      <c r="C44" s="245"/>
      <c r="D44" s="244"/>
      <c r="E44" s="245"/>
      <c r="F44" s="245"/>
      <c r="G44" s="244"/>
      <c r="H44" s="244"/>
      <c r="I44" s="244"/>
      <c r="J44" s="244"/>
      <c r="K44" s="242"/>
      <c r="L44" s="68"/>
      <c r="M44" s="68"/>
      <c r="N44" s="68"/>
      <c r="O44" s="68"/>
      <c r="P44" s="68"/>
      <c r="Q44" s="68"/>
    </row>
    <row r="45" spans="1:22" ht="15" customHeight="1" thickBot="1">
      <c r="A45" s="299"/>
      <c r="B45" s="244"/>
      <c r="C45" s="245"/>
      <c r="D45" s="244"/>
      <c r="E45" s="245"/>
      <c r="F45" s="245"/>
      <c r="G45" s="244"/>
      <c r="H45" s="244"/>
      <c r="I45" s="244"/>
      <c r="J45" s="244"/>
      <c r="K45" s="242"/>
      <c r="L45" s="68"/>
      <c r="M45" s="68"/>
      <c r="N45" s="68"/>
      <c r="O45" s="68"/>
      <c r="P45" s="68"/>
      <c r="Q45" s="68"/>
    </row>
    <row r="46" spans="1:22" ht="19.5" thickBot="1">
      <c r="A46" s="299"/>
      <c r="B46" s="244" t="s">
        <v>403</v>
      </c>
      <c r="C46" s="306">
        <f>C6</f>
        <v>450</v>
      </c>
      <c r="D46" s="318" t="s">
        <v>390</v>
      </c>
      <c r="E46" s="306">
        <f>C28</f>
        <v>2.2000000000000002</v>
      </c>
      <c r="F46" s="245"/>
      <c r="G46" s="318" t="s">
        <v>402</v>
      </c>
      <c r="H46" s="245"/>
      <c r="I46" s="315" t="str">
        <f>IF(DropDownList!AB19=TRUE,C46*E46,"NA")</f>
        <v>NA</v>
      </c>
      <c r="J46" s="318" t="s">
        <v>643</v>
      </c>
      <c r="K46" s="242"/>
      <c r="L46" s="68"/>
      <c r="M46" s="68"/>
      <c r="N46" s="68"/>
      <c r="O46" s="68"/>
      <c r="P46" s="68"/>
      <c r="Q46" s="68"/>
    </row>
    <row r="47" spans="1:22" ht="12.75" customHeight="1">
      <c r="A47" s="299"/>
      <c r="B47" s="244"/>
      <c r="C47" s="245"/>
      <c r="D47" s="245"/>
      <c r="E47" s="245"/>
      <c r="F47" s="245"/>
      <c r="G47" s="318"/>
      <c r="H47" s="245"/>
      <c r="I47" s="316"/>
      <c r="J47" s="318"/>
      <c r="K47" s="242"/>
      <c r="L47" s="68"/>
      <c r="M47" s="68"/>
      <c r="N47" s="68"/>
      <c r="O47" s="68"/>
      <c r="P47" s="68"/>
      <c r="Q47" s="68"/>
    </row>
    <row r="48" spans="1:22" ht="12.75" customHeight="1">
      <c r="A48" s="299" t="s">
        <v>401</v>
      </c>
      <c r="B48" s="244" t="s">
        <v>400</v>
      </c>
      <c r="C48" s="245"/>
      <c r="D48" s="244"/>
      <c r="E48" s="245"/>
      <c r="F48" s="245"/>
      <c r="G48" s="318"/>
      <c r="H48" s="244"/>
      <c r="I48" s="245"/>
      <c r="J48" s="245"/>
      <c r="K48" s="242"/>
      <c r="L48" s="98"/>
      <c r="M48" s="100"/>
      <c r="N48" s="100"/>
      <c r="O48" s="67"/>
      <c r="P48" s="68"/>
      <c r="Q48" s="68"/>
    </row>
    <row r="49" spans="1:22" ht="12.75" customHeight="1" thickBot="1">
      <c r="A49" s="299"/>
      <c r="B49" s="244"/>
      <c r="C49" s="245"/>
      <c r="D49" s="244"/>
      <c r="E49" s="245"/>
      <c r="F49" s="245"/>
      <c r="G49" s="318"/>
      <c r="H49" s="244"/>
      <c r="I49" s="245"/>
      <c r="J49" s="245"/>
      <c r="K49" s="242"/>
      <c r="L49" s="98"/>
      <c r="M49" s="114"/>
      <c r="N49" s="114"/>
      <c r="O49" s="67"/>
      <c r="P49" s="68"/>
      <c r="Q49" s="68"/>
    </row>
    <row r="50" spans="1:22" ht="19.5" thickBot="1">
      <c r="A50" s="299"/>
      <c r="B50" s="244" t="s">
        <v>399</v>
      </c>
      <c r="C50" s="306">
        <f>C6</f>
        <v>450</v>
      </c>
      <c r="D50" s="318" t="s">
        <v>390</v>
      </c>
      <c r="E50" s="306">
        <f>C28</f>
        <v>2.2000000000000002</v>
      </c>
      <c r="F50" s="245"/>
      <c r="G50" s="318" t="s">
        <v>398</v>
      </c>
      <c r="H50" s="318"/>
      <c r="I50" s="315" t="str">
        <f>IF(DropDownList!AB19=TRUE,C50*E50*0.8,"NA")</f>
        <v>NA</v>
      </c>
      <c r="J50" s="318" t="s">
        <v>643</v>
      </c>
      <c r="K50" s="242"/>
      <c r="L50" s="98"/>
      <c r="M50" s="100"/>
      <c r="N50" s="100"/>
      <c r="O50" s="67"/>
      <c r="P50" s="68"/>
      <c r="Q50" s="68"/>
      <c r="R50" s="68"/>
      <c r="S50" s="68"/>
      <c r="T50" s="68"/>
      <c r="U50" s="68"/>
      <c r="V50" s="68"/>
    </row>
    <row r="51" spans="1:22" ht="12.75" customHeight="1">
      <c r="A51" s="299"/>
      <c r="B51" s="244"/>
      <c r="C51" s="245"/>
      <c r="D51" s="245"/>
      <c r="E51" s="245"/>
      <c r="F51" s="245"/>
      <c r="G51" s="318"/>
      <c r="H51" s="318"/>
      <c r="I51" s="316"/>
      <c r="J51" s="318"/>
      <c r="K51" s="242"/>
      <c r="L51" s="100"/>
      <c r="M51" s="100"/>
      <c r="N51" s="67"/>
      <c r="O51" s="68"/>
      <c r="P51" s="68"/>
      <c r="Q51" s="68"/>
      <c r="R51" s="68"/>
      <c r="S51" s="68"/>
      <c r="T51" s="68"/>
      <c r="U51" s="68"/>
      <c r="V51" s="68"/>
    </row>
    <row r="52" spans="1:22" ht="14.1" customHeight="1">
      <c r="A52" s="299" t="s">
        <v>397</v>
      </c>
      <c r="B52" s="244" t="s">
        <v>396</v>
      </c>
      <c r="C52" s="245"/>
      <c r="D52" s="244"/>
      <c r="E52" s="245"/>
      <c r="F52" s="245"/>
      <c r="G52" s="318"/>
      <c r="H52" s="244"/>
      <c r="I52" s="316"/>
      <c r="J52" s="244"/>
      <c r="K52" s="242"/>
      <c r="L52" s="100"/>
      <c r="M52" s="100"/>
      <c r="N52" s="67"/>
      <c r="O52" s="68"/>
      <c r="P52" s="68"/>
      <c r="Q52" s="68"/>
      <c r="R52" s="68"/>
      <c r="S52" s="68"/>
      <c r="T52" s="68"/>
      <c r="U52" s="68"/>
      <c r="V52" s="68"/>
    </row>
    <row r="53" spans="1:22" ht="14.1" customHeight="1" thickBot="1">
      <c r="A53" s="299"/>
      <c r="B53" s="244"/>
      <c r="C53" s="245"/>
      <c r="D53" s="244"/>
      <c r="E53" s="245"/>
      <c r="F53" s="245"/>
      <c r="G53" s="318"/>
      <c r="H53" s="244"/>
      <c r="I53" s="316"/>
      <c r="J53" s="244"/>
      <c r="K53" s="242"/>
      <c r="L53" s="114"/>
      <c r="M53" s="114"/>
      <c r="N53" s="67"/>
      <c r="O53" s="68"/>
      <c r="P53" s="68"/>
      <c r="Q53" s="68"/>
      <c r="R53" s="68"/>
      <c r="S53" s="68"/>
      <c r="T53" s="68"/>
      <c r="U53" s="68"/>
      <c r="V53" s="68"/>
    </row>
    <row r="54" spans="1:22" ht="19.5" thickBot="1">
      <c r="A54" s="299"/>
      <c r="B54" s="244" t="s">
        <v>395</v>
      </c>
      <c r="C54" s="306">
        <f>C6</f>
        <v>450</v>
      </c>
      <c r="D54" s="318" t="s">
        <v>390</v>
      </c>
      <c r="E54" s="306">
        <f>C28</f>
        <v>2.2000000000000002</v>
      </c>
      <c r="F54" s="245"/>
      <c r="G54" s="318" t="s">
        <v>394</v>
      </c>
      <c r="H54" s="318"/>
      <c r="I54" s="315" t="str">
        <f>IF(DropDownList!AB19=TRUE,C54*E54*0.66,"NA")</f>
        <v>NA</v>
      </c>
      <c r="J54" s="318" t="s">
        <v>643</v>
      </c>
      <c r="K54" s="242"/>
      <c r="L54" s="100"/>
      <c r="M54" s="100"/>
      <c r="N54" s="67"/>
      <c r="O54" s="68"/>
      <c r="P54" s="68"/>
      <c r="Q54" s="68"/>
      <c r="U54" s="68"/>
      <c r="V54" s="68"/>
    </row>
    <row r="55" spans="1:22" ht="12.75" customHeight="1">
      <c r="A55" s="299"/>
      <c r="B55" s="244"/>
      <c r="C55" s="245"/>
      <c r="D55" s="245"/>
      <c r="E55" s="245"/>
      <c r="F55" s="245"/>
      <c r="G55" s="318"/>
      <c r="H55" s="318"/>
      <c r="I55" s="316"/>
      <c r="J55" s="318"/>
      <c r="K55" s="242"/>
      <c r="L55" s="100"/>
      <c r="M55" s="100"/>
      <c r="N55" s="67"/>
      <c r="O55" s="68"/>
      <c r="P55" s="68"/>
      <c r="Q55" s="68"/>
      <c r="U55" s="68"/>
      <c r="V55" s="68"/>
    </row>
    <row r="56" spans="1:22" ht="12.75" customHeight="1">
      <c r="A56" s="299" t="s">
        <v>393</v>
      </c>
      <c r="B56" s="244" t="s">
        <v>392</v>
      </c>
      <c r="C56" s="245"/>
      <c r="D56" s="244"/>
      <c r="E56" s="245"/>
      <c r="F56" s="245"/>
      <c r="G56" s="318"/>
      <c r="H56" s="244"/>
      <c r="I56" s="316"/>
      <c r="J56" s="244"/>
      <c r="K56" s="242"/>
      <c r="L56" s="100"/>
      <c r="M56" s="100"/>
      <c r="N56" s="67"/>
      <c r="O56" s="68"/>
      <c r="P56" s="68"/>
      <c r="Q56" s="68"/>
      <c r="U56" s="68"/>
      <c r="V56" s="68"/>
    </row>
    <row r="57" spans="1:22" ht="12.75" customHeight="1" thickBot="1">
      <c r="A57" s="299"/>
      <c r="B57" s="244"/>
      <c r="C57" s="245"/>
      <c r="D57" s="244"/>
      <c r="E57" s="245"/>
      <c r="F57" s="245"/>
      <c r="G57" s="318"/>
      <c r="H57" s="244"/>
      <c r="I57" s="316"/>
      <c r="J57" s="244"/>
      <c r="K57" s="242"/>
      <c r="L57" s="114"/>
      <c r="M57" s="114"/>
      <c r="N57" s="67"/>
      <c r="O57" s="68"/>
      <c r="P57" s="68"/>
      <c r="Q57" s="68"/>
      <c r="U57" s="68"/>
      <c r="V57" s="68"/>
    </row>
    <row r="58" spans="1:22" ht="18.75" customHeight="1" thickBot="1">
      <c r="A58" s="299"/>
      <c r="B58" s="244" t="s">
        <v>391</v>
      </c>
      <c r="C58" s="306">
        <f>C6</f>
        <v>450</v>
      </c>
      <c r="D58" s="318" t="s">
        <v>390</v>
      </c>
      <c r="E58" s="306">
        <f>C28</f>
        <v>2.2000000000000002</v>
      </c>
      <c r="F58" s="245"/>
      <c r="G58" s="318" t="s">
        <v>389</v>
      </c>
      <c r="H58" s="318"/>
      <c r="I58" s="315" t="str">
        <f>IF(DropDownList!AB19=TRUE,C58*E58*0.6,"NA")</f>
        <v>NA</v>
      </c>
      <c r="J58" s="318" t="s">
        <v>643</v>
      </c>
      <c r="K58" s="242"/>
      <c r="L58" s="100"/>
      <c r="M58" s="100"/>
      <c r="N58" s="67"/>
      <c r="O58" s="68"/>
      <c r="P58" s="68"/>
      <c r="Q58" s="68"/>
      <c r="U58" s="68"/>
      <c r="V58" s="68"/>
    </row>
    <row r="59" spans="1:22" ht="12.75" customHeight="1">
      <c r="A59" s="299"/>
      <c r="B59" s="244"/>
      <c r="C59" s="396"/>
      <c r="D59" s="245"/>
      <c r="E59" s="245"/>
      <c r="F59" s="245"/>
      <c r="G59" s="318"/>
      <c r="H59" s="318"/>
      <c r="I59" s="316"/>
      <c r="J59" s="318"/>
      <c r="K59" s="242"/>
      <c r="L59" s="100"/>
      <c r="M59" s="100"/>
      <c r="N59" s="67"/>
      <c r="O59" s="68"/>
      <c r="P59" s="68"/>
      <c r="Q59" s="68"/>
      <c r="U59" s="68"/>
      <c r="V59" s="68"/>
    </row>
    <row r="60" spans="1:22" ht="12.75" customHeight="1">
      <c r="A60" s="299" t="s">
        <v>388</v>
      </c>
      <c r="B60" s="244" t="s">
        <v>387</v>
      </c>
      <c r="C60" s="245"/>
      <c r="D60" s="244"/>
      <c r="E60" s="245"/>
      <c r="F60" s="245"/>
      <c r="G60" s="244"/>
      <c r="H60" s="244"/>
      <c r="I60" s="244"/>
      <c r="J60" s="316"/>
      <c r="K60" s="242"/>
      <c r="L60" s="100"/>
      <c r="M60" s="100"/>
      <c r="N60" s="67"/>
      <c r="O60" s="68"/>
      <c r="P60" s="68"/>
      <c r="Q60" s="68"/>
      <c r="U60" s="68"/>
      <c r="V60" s="68"/>
    </row>
    <row r="61" spans="1:22" ht="12.75" customHeight="1" thickBot="1">
      <c r="A61" s="299"/>
      <c r="B61" s="244"/>
      <c r="C61" s="245"/>
      <c r="D61" s="244"/>
      <c r="E61" s="245"/>
      <c r="F61" s="245"/>
      <c r="G61" s="244"/>
      <c r="H61" s="244"/>
      <c r="I61" s="244"/>
      <c r="J61" s="316"/>
      <c r="K61" s="242"/>
      <c r="L61" s="114"/>
      <c r="M61" s="114"/>
      <c r="N61" s="67"/>
      <c r="O61" s="68"/>
      <c r="P61" s="68"/>
      <c r="Q61" s="68"/>
      <c r="U61" s="68"/>
      <c r="V61" s="68"/>
    </row>
    <row r="62" spans="1:22" ht="19.5" thickBot="1">
      <c r="A62" s="299"/>
      <c r="B62" s="244" t="s">
        <v>386</v>
      </c>
      <c r="C62" s="245"/>
      <c r="D62" s="306">
        <f>C6</f>
        <v>450</v>
      </c>
      <c r="E62" s="245" t="s">
        <v>382</v>
      </c>
      <c r="F62" s="245"/>
      <c r="G62" s="306">
        <f>C28</f>
        <v>2.2000000000000002</v>
      </c>
      <c r="H62" s="244"/>
      <c r="I62" s="245" t="s">
        <v>808</v>
      </c>
      <c r="J62" s="315" t="str">
        <f>IF(DropDownList!AA19=TRUE,D62*G62*1.5,"NA")</f>
        <v>NA</v>
      </c>
      <c r="K62" s="318" t="s">
        <v>643</v>
      </c>
      <c r="L62" s="100"/>
      <c r="M62" s="100"/>
      <c r="N62" s="67"/>
      <c r="O62" s="68"/>
      <c r="P62" s="68"/>
      <c r="Q62" s="68"/>
      <c r="U62" s="68"/>
      <c r="V62" s="68"/>
    </row>
    <row r="63" spans="1:22" ht="12" customHeight="1">
      <c r="A63" s="299"/>
      <c r="B63" s="244"/>
      <c r="C63" s="245"/>
      <c r="D63" s="245"/>
      <c r="E63" s="245"/>
      <c r="F63" s="245"/>
      <c r="G63" s="245"/>
      <c r="H63" s="244"/>
      <c r="I63" s="245"/>
      <c r="J63" s="316"/>
      <c r="K63" s="318"/>
      <c r="L63" s="114"/>
      <c r="M63" s="114"/>
      <c r="N63" s="67"/>
      <c r="O63" s="68"/>
      <c r="P63" s="68"/>
      <c r="Q63" s="68"/>
      <c r="U63" s="68"/>
      <c r="V63" s="68"/>
    </row>
    <row r="64" spans="1:22" ht="12.75" customHeight="1">
      <c r="A64" s="299" t="s">
        <v>385</v>
      </c>
      <c r="B64" s="244" t="s">
        <v>384</v>
      </c>
      <c r="C64" s="245"/>
      <c r="D64" s="244"/>
      <c r="E64" s="245"/>
      <c r="F64" s="245"/>
      <c r="G64" s="244"/>
      <c r="H64" s="244"/>
      <c r="I64" s="244"/>
      <c r="J64" s="244"/>
      <c r="K64" s="242"/>
      <c r="L64" s="100"/>
      <c r="M64" s="100"/>
      <c r="N64" s="67"/>
      <c r="O64" s="68"/>
      <c r="P64" s="68"/>
      <c r="Q64" s="68"/>
      <c r="U64" s="68"/>
      <c r="V64" s="68"/>
    </row>
    <row r="65" spans="1:22" ht="12.75" customHeight="1" thickBot="1">
      <c r="A65" s="299"/>
      <c r="B65" s="244"/>
      <c r="C65" s="245"/>
      <c r="D65" s="244"/>
      <c r="E65" s="245"/>
      <c r="F65" s="245"/>
      <c r="G65" s="244"/>
      <c r="H65" s="244"/>
      <c r="I65" s="244"/>
      <c r="J65" s="244"/>
      <c r="K65" s="242"/>
      <c r="L65" s="114"/>
      <c r="M65" s="114"/>
      <c r="N65" s="67"/>
      <c r="O65" s="68"/>
      <c r="P65" s="68"/>
      <c r="Q65" s="68"/>
      <c r="U65" s="68"/>
      <c r="V65" s="68"/>
    </row>
    <row r="66" spans="1:22" ht="19.5" thickBot="1">
      <c r="A66" s="299"/>
      <c r="B66" s="244" t="s">
        <v>383</v>
      </c>
      <c r="C66" s="306">
        <f>C6</f>
        <v>450</v>
      </c>
      <c r="D66" s="245" t="s">
        <v>382</v>
      </c>
      <c r="E66" s="306">
        <f>IF(DropDownList!Z19=TRUE,C28,0)</f>
        <v>0</v>
      </c>
      <c r="F66" s="245"/>
      <c r="G66" s="245" t="s">
        <v>381</v>
      </c>
      <c r="H66" s="245"/>
      <c r="I66" s="315" t="str">
        <f>IF(DropDownList!Z19=TRUE,C66*E66,"NA")</f>
        <v>NA</v>
      </c>
      <c r="J66" s="244" t="s">
        <v>595</v>
      </c>
      <c r="K66" s="242"/>
      <c r="L66" s="100"/>
      <c r="M66" s="100"/>
      <c r="N66" s="67"/>
      <c r="O66" s="68"/>
      <c r="P66" s="68"/>
      <c r="Q66" s="68"/>
      <c r="U66" s="68"/>
      <c r="V66" s="68"/>
    </row>
    <row r="67" spans="1:22" ht="12.75" customHeight="1">
      <c r="A67" s="299"/>
      <c r="B67" s="264"/>
      <c r="C67" s="263"/>
      <c r="D67" s="264"/>
      <c r="E67" s="323"/>
      <c r="F67" s="339"/>
      <c r="G67" s="245"/>
      <c r="H67" s="245"/>
      <c r="I67" s="242"/>
      <c r="J67" s="245"/>
      <c r="K67" s="302"/>
      <c r="L67" s="100"/>
      <c r="M67" s="100"/>
      <c r="N67" s="67"/>
      <c r="O67" s="68"/>
      <c r="P67" s="68"/>
      <c r="Q67" s="68"/>
      <c r="U67" s="68"/>
      <c r="V67" s="68"/>
    </row>
    <row r="68" spans="1:22" ht="19.5" customHeight="1">
      <c r="A68" s="349" t="s">
        <v>16</v>
      </c>
      <c r="B68" s="350" t="s">
        <v>380</v>
      </c>
      <c r="C68" s="402"/>
      <c r="D68" s="293"/>
      <c r="E68" s="404"/>
      <c r="F68" s="405"/>
      <c r="G68" s="406"/>
      <c r="H68" s="373"/>
      <c r="I68" s="352"/>
      <c r="J68" s="354"/>
      <c r="K68" s="302"/>
      <c r="L68" s="100"/>
      <c r="M68" s="100"/>
      <c r="N68" s="67"/>
      <c r="O68" s="68"/>
      <c r="P68" s="68"/>
      <c r="Q68" s="68"/>
      <c r="U68" s="68"/>
      <c r="V68" s="68"/>
    </row>
    <row r="69" spans="1:22" ht="12.75" customHeight="1">
      <c r="A69" s="297"/>
      <c r="B69" s="298"/>
      <c r="C69" s="374"/>
      <c r="D69" s="298"/>
      <c r="E69" s="374"/>
      <c r="F69" s="374"/>
      <c r="G69" s="298"/>
      <c r="H69" s="298"/>
      <c r="I69" s="298"/>
      <c r="J69" s="298"/>
      <c r="K69" s="298"/>
      <c r="L69" s="70"/>
      <c r="M69" s="70"/>
      <c r="N69" s="70"/>
      <c r="O69" s="68"/>
      <c r="P69" s="68"/>
      <c r="Q69" s="68"/>
      <c r="U69" s="68"/>
      <c r="V69" s="68"/>
    </row>
    <row r="70" spans="1:22" ht="14.1" customHeight="1">
      <c r="A70" s="299" t="s">
        <v>379</v>
      </c>
      <c r="B70" s="242" t="s">
        <v>378</v>
      </c>
      <c r="C70" s="243"/>
      <c r="D70" s="316"/>
      <c r="E70" s="249"/>
      <c r="F70" s="243"/>
      <c r="G70" s="242"/>
      <c r="H70" s="242"/>
      <c r="I70" s="242"/>
      <c r="J70" s="242"/>
      <c r="K70" s="242"/>
      <c r="L70" s="68"/>
      <c r="M70" s="68"/>
      <c r="N70" s="68"/>
      <c r="O70" s="67"/>
      <c r="P70" s="68"/>
      <c r="Q70" s="68"/>
      <c r="U70" s="68"/>
      <c r="V70" s="68"/>
    </row>
    <row r="71" spans="1:22" ht="15.75">
      <c r="A71" s="299"/>
      <c r="B71" s="242"/>
      <c r="C71" s="243"/>
      <c r="D71" s="316"/>
      <c r="E71" s="249"/>
      <c r="F71" s="243"/>
      <c r="G71" s="242"/>
      <c r="H71" s="242"/>
      <c r="I71" s="242"/>
      <c r="J71" s="242"/>
      <c r="K71" s="242"/>
      <c r="L71" s="68"/>
      <c r="M71" s="68"/>
      <c r="N71" s="68"/>
      <c r="O71" s="67"/>
      <c r="P71" s="68"/>
      <c r="Q71" s="68"/>
      <c r="U71" s="68"/>
      <c r="V71" s="68"/>
    </row>
    <row r="72" spans="1:22" ht="18" customHeight="1">
      <c r="A72" s="299"/>
      <c r="B72" s="242"/>
      <c r="C72" s="243"/>
      <c r="D72" s="403">
        <v>990</v>
      </c>
      <c r="E72" s="618" t="s">
        <v>643</v>
      </c>
      <c r="F72" s="243" t="s">
        <v>824</v>
      </c>
      <c r="G72" s="242"/>
      <c r="H72" s="242"/>
      <c r="I72" s="242"/>
      <c r="J72" s="242"/>
      <c r="K72" s="242"/>
      <c r="L72" s="68"/>
      <c r="M72" s="68"/>
      <c r="N72" s="68"/>
      <c r="O72" s="68"/>
      <c r="P72" s="68"/>
      <c r="Q72" s="68"/>
      <c r="U72" s="68"/>
      <c r="V72" s="68"/>
    </row>
    <row r="73" spans="1:22" ht="15.75">
      <c r="A73" s="302"/>
      <c r="B73" s="314" t="s">
        <v>377</v>
      </c>
      <c r="C73" s="245"/>
      <c r="D73" s="316"/>
      <c r="E73" s="318"/>
      <c r="F73" s="245"/>
      <c r="G73" s="244"/>
      <c r="H73" s="244"/>
      <c r="I73" s="244"/>
      <c r="J73" s="244"/>
      <c r="K73" s="244"/>
      <c r="L73" s="67"/>
      <c r="M73" s="67"/>
      <c r="N73" s="67"/>
      <c r="O73" s="68"/>
      <c r="P73" s="68"/>
      <c r="Q73" s="68"/>
      <c r="U73" s="68"/>
      <c r="V73" s="68"/>
    </row>
    <row r="74" spans="1:22" ht="15.75">
      <c r="A74" s="302"/>
      <c r="B74" s="314"/>
      <c r="C74" s="245"/>
      <c r="D74" s="316"/>
      <c r="E74" s="318"/>
      <c r="F74" s="245"/>
      <c r="G74" s="244"/>
      <c r="H74" s="244"/>
      <c r="I74" s="244"/>
      <c r="J74" s="244"/>
      <c r="K74" s="244"/>
      <c r="L74" s="67"/>
      <c r="M74" s="67"/>
      <c r="N74" s="67"/>
      <c r="O74" s="68"/>
      <c r="P74" s="68"/>
      <c r="Q74" s="68"/>
      <c r="U74" s="68"/>
      <c r="V74" s="68"/>
    </row>
    <row r="75" spans="1:22" ht="15.75">
      <c r="A75" s="299" t="s">
        <v>376</v>
      </c>
      <c r="B75" s="242" t="s">
        <v>375</v>
      </c>
      <c r="C75" s="243"/>
      <c r="D75" s="403">
        <v>15</v>
      </c>
      <c r="E75" s="249" t="s">
        <v>374</v>
      </c>
      <c r="F75" s="243"/>
      <c r="G75" s="242"/>
      <c r="H75" s="242"/>
      <c r="I75" s="242"/>
      <c r="J75" s="242"/>
      <c r="K75" s="242"/>
      <c r="L75" s="68"/>
      <c r="M75" s="68"/>
      <c r="N75" s="68"/>
      <c r="O75" s="102"/>
      <c r="P75" s="68"/>
      <c r="Q75" s="68"/>
      <c r="R75" s="68"/>
      <c r="S75" s="68"/>
      <c r="T75" s="68"/>
      <c r="U75" s="68"/>
      <c r="V75" s="68"/>
    </row>
    <row r="76" spans="1:22" ht="15.75">
      <c r="A76" s="299"/>
      <c r="B76" s="253" t="s">
        <v>576</v>
      </c>
      <c r="C76" s="243"/>
      <c r="D76" s="316"/>
      <c r="E76" s="249"/>
      <c r="F76" s="243"/>
      <c r="G76" s="242"/>
      <c r="H76" s="242"/>
      <c r="I76" s="242"/>
      <c r="J76" s="242"/>
      <c r="K76" s="242"/>
      <c r="L76" s="68"/>
      <c r="M76" s="68"/>
      <c r="N76" s="68"/>
      <c r="O76" s="102"/>
      <c r="P76" s="68"/>
      <c r="Q76" s="68"/>
      <c r="R76" s="68"/>
      <c r="S76" s="68"/>
      <c r="T76" s="68"/>
      <c r="U76" s="68"/>
      <c r="V76" s="68"/>
    </row>
    <row r="77" spans="1:22" ht="15.75">
      <c r="A77" s="299"/>
      <c r="B77" s="242" t="s">
        <v>575</v>
      </c>
      <c r="C77" s="243"/>
      <c r="D77" s="316"/>
      <c r="E77" s="249"/>
      <c r="F77" s="243"/>
      <c r="G77" s="242"/>
      <c r="H77" s="242"/>
      <c r="I77" s="242"/>
      <c r="J77" s="242"/>
      <c r="K77" s="242"/>
      <c r="L77" s="68"/>
      <c r="M77" s="68"/>
      <c r="N77" s="68"/>
      <c r="O77" s="102"/>
      <c r="P77" s="68"/>
      <c r="Q77" s="68"/>
      <c r="R77" s="68"/>
      <c r="S77" s="68"/>
      <c r="T77" s="68"/>
      <c r="U77" s="68"/>
      <c r="V77" s="68"/>
    </row>
    <row r="78" spans="1:22" ht="15.75">
      <c r="A78" s="299"/>
      <c r="B78" s="242"/>
      <c r="C78" s="243"/>
      <c r="D78" s="316"/>
      <c r="E78" s="249"/>
      <c r="F78" s="243"/>
      <c r="G78" s="242"/>
      <c r="H78" s="242"/>
      <c r="I78" s="242"/>
      <c r="J78" s="242"/>
      <c r="K78" s="242"/>
      <c r="L78" s="68"/>
      <c r="M78" s="68"/>
      <c r="N78" s="68"/>
      <c r="O78" s="102"/>
      <c r="P78" s="68"/>
      <c r="Q78" s="68"/>
      <c r="R78" s="68"/>
      <c r="S78" s="68"/>
      <c r="T78" s="68"/>
      <c r="U78" s="68"/>
      <c r="V78" s="68"/>
    </row>
    <row r="79" spans="1:22" ht="15.75" customHeight="1">
      <c r="A79" s="299" t="s">
        <v>373</v>
      </c>
      <c r="B79" s="242" t="s">
        <v>372</v>
      </c>
      <c r="C79" s="243"/>
      <c r="D79" s="242"/>
      <c r="E79" s="243"/>
      <c r="F79" s="243"/>
      <c r="G79" s="242"/>
      <c r="H79" s="242"/>
      <c r="I79" s="242"/>
      <c r="J79" s="242"/>
      <c r="K79" s="242"/>
      <c r="L79" s="68"/>
      <c r="M79" s="68"/>
      <c r="N79" s="68"/>
      <c r="O79" s="68"/>
      <c r="P79" s="68"/>
      <c r="Q79" s="68"/>
      <c r="R79" s="68"/>
      <c r="S79" s="68"/>
      <c r="T79" s="68"/>
      <c r="U79" s="68"/>
      <c r="V79" s="68"/>
    </row>
    <row r="80" spans="1:22" ht="15.75" customHeight="1" thickBot="1">
      <c r="A80" s="299"/>
      <c r="B80" s="242"/>
      <c r="C80" s="243"/>
      <c r="D80" s="242"/>
      <c r="E80" s="243"/>
      <c r="F80" s="243"/>
      <c r="G80" s="242"/>
      <c r="H80" s="242"/>
      <c r="I80" s="242"/>
      <c r="J80" s="242"/>
      <c r="K80" s="242"/>
      <c r="L80" s="68"/>
      <c r="M80" s="68"/>
      <c r="N80" s="68"/>
      <c r="O80" s="68"/>
      <c r="P80" s="68"/>
      <c r="Q80" s="68"/>
      <c r="R80" s="68"/>
      <c r="S80" s="68"/>
      <c r="T80" s="68"/>
      <c r="U80" s="68"/>
      <c r="V80" s="68"/>
    </row>
    <row r="81" spans="1:22" ht="19.5" thickBot="1">
      <c r="A81" s="299"/>
      <c r="B81" s="242"/>
      <c r="C81" s="309">
        <f>D72</f>
        <v>990</v>
      </c>
      <c r="D81" s="249" t="s">
        <v>644</v>
      </c>
      <c r="E81" s="309">
        <f>D75</f>
        <v>15</v>
      </c>
      <c r="F81" s="316"/>
      <c r="G81" s="243" t="s">
        <v>369</v>
      </c>
      <c r="H81" s="243"/>
      <c r="I81" s="315" t="str">
        <f>IF(OR(DropDownList!Z19=TRUE,DropDownList!AB19),C81/E81,"NA")</f>
        <v>NA</v>
      </c>
      <c r="J81" s="242" t="s">
        <v>368</v>
      </c>
      <c r="K81" s="242"/>
      <c r="L81" s="68"/>
      <c r="M81" s="68"/>
      <c r="N81" s="68"/>
      <c r="O81" s="68"/>
      <c r="P81" s="68"/>
      <c r="Q81" s="68"/>
      <c r="R81" s="68"/>
      <c r="S81" s="68"/>
      <c r="T81" s="68"/>
      <c r="U81" s="68"/>
      <c r="V81" s="68"/>
    </row>
    <row r="82" spans="1:22" ht="15.75">
      <c r="A82" s="299"/>
      <c r="B82" s="242"/>
      <c r="C82" s="316"/>
      <c r="D82" s="249"/>
      <c r="E82" s="316"/>
      <c r="F82" s="316"/>
      <c r="G82" s="243"/>
      <c r="H82" s="243"/>
      <c r="I82" s="316"/>
      <c r="J82" s="242"/>
      <c r="K82" s="242"/>
      <c r="L82" s="68"/>
      <c r="M82" s="68"/>
      <c r="N82" s="68"/>
      <c r="O82" s="68"/>
      <c r="P82" s="68"/>
      <c r="Q82" s="68"/>
      <c r="R82" s="68"/>
      <c r="S82" s="68"/>
      <c r="T82" s="68"/>
      <c r="U82" s="68"/>
      <c r="V82" s="68"/>
    </row>
    <row r="83" spans="1:22" ht="12.75" customHeight="1">
      <c r="A83" s="299" t="s">
        <v>371</v>
      </c>
      <c r="B83" s="242" t="s">
        <v>370</v>
      </c>
      <c r="C83" s="316"/>
      <c r="D83" s="249"/>
      <c r="E83" s="316"/>
      <c r="F83" s="316"/>
      <c r="G83" s="243"/>
      <c r="H83" s="243"/>
      <c r="I83" s="316"/>
      <c r="J83" s="242"/>
      <c r="K83" s="242"/>
      <c r="L83" s="68"/>
      <c r="M83" s="68"/>
      <c r="N83" s="68"/>
      <c r="O83" s="68"/>
      <c r="P83" s="68"/>
      <c r="Q83" s="68"/>
      <c r="R83" s="68"/>
      <c r="S83" s="68"/>
      <c r="T83" s="68"/>
      <c r="U83" s="68"/>
      <c r="V83" s="68"/>
    </row>
    <row r="84" spans="1:22" ht="12.75" customHeight="1" thickBot="1">
      <c r="A84" s="299"/>
      <c r="B84" s="242"/>
      <c r="C84" s="316"/>
      <c r="D84" s="249"/>
      <c r="E84" s="316"/>
      <c r="F84" s="316"/>
      <c r="G84" s="243"/>
      <c r="H84" s="243"/>
      <c r="I84" s="316"/>
      <c r="J84" s="242"/>
      <c r="K84" s="242"/>
      <c r="L84" s="68"/>
      <c r="M84" s="68"/>
      <c r="N84" s="68"/>
      <c r="O84" s="68"/>
      <c r="P84" s="68"/>
      <c r="Q84" s="68"/>
      <c r="R84" s="68"/>
      <c r="S84" s="68"/>
      <c r="T84" s="68"/>
      <c r="U84" s="68"/>
      <c r="V84" s="68"/>
    </row>
    <row r="85" spans="1:22" ht="15.75" customHeight="1" thickBot="1">
      <c r="A85" s="299"/>
      <c r="B85" s="248"/>
      <c r="C85" s="309">
        <f>D72</f>
        <v>990</v>
      </c>
      <c r="D85" s="249" t="s">
        <v>644</v>
      </c>
      <c r="E85" s="309">
        <f>D75</f>
        <v>15</v>
      </c>
      <c r="F85" s="316"/>
      <c r="G85" s="243" t="s">
        <v>369</v>
      </c>
      <c r="H85" s="243"/>
      <c r="I85" s="315" t="str">
        <f>IF(DropDownList!AA19=TRUE,C85/E85,"NA")</f>
        <v>NA</v>
      </c>
      <c r="J85" s="242" t="s">
        <v>368</v>
      </c>
      <c r="K85" s="242"/>
      <c r="L85" s="68"/>
      <c r="M85" s="68"/>
      <c r="N85" s="68"/>
      <c r="O85" s="68"/>
      <c r="P85" s="68"/>
      <c r="Q85" s="68"/>
      <c r="R85" s="68"/>
      <c r="S85" s="68"/>
      <c r="T85" s="68"/>
      <c r="U85" s="68"/>
      <c r="V85" s="68"/>
    </row>
    <row r="86" spans="1:22" ht="14.1" customHeight="1">
      <c r="A86" s="264"/>
      <c r="B86" s="264"/>
      <c r="C86" s="264"/>
      <c r="D86" s="264"/>
      <c r="E86" s="264"/>
      <c r="F86" s="264"/>
      <c r="G86" s="264"/>
      <c r="H86" s="264"/>
      <c r="I86" s="264"/>
      <c r="J86" s="264"/>
      <c r="K86" s="264"/>
      <c r="L86" s="68"/>
      <c r="M86" s="68"/>
      <c r="N86" s="68"/>
      <c r="O86" s="68"/>
      <c r="P86" s="68"/>
      <c r="Q86" s="68"/>
      <c r="R86" s="68"/>
      <c r="S86" s="68"/>
      <c r="T86" s="68"/>
      <c r="U86" s="68"/>
      <c r="V86" s="68"/>
    </row>
    <row r="87" spans="1:22" ht="19.5" customHeight="1">
      <c r="A87" s="349" t="s">
        <v>13</v>
      </c>
      <c r="B87" s="407" t="s">
        <v>367</v>
      </c>
      <c r="C87" s="352"/>
      <c r="D87" s="293"/>
      <c r="E87" s="293"/>
      <c r="F87" s="293"/>
      <c r="G87" s="293"/>
      <c r="H87" s="293"/>
      <c r="I87" s="293"/>
      <c r="J87" s="292"/>
      <c r="K87" s="264"/>
      <c r="L87" s="68"/>
      <c r="M87" s="68"/>
      <c r="N87" s="68"/>
      <c r="O87" s="68"/>
      <c r="P87" s="68"/>
      <c r="Q87" s="68"/>
      <c r="R87" s="68"/>
      <c r="S87" s="68"/>
      <c r="T87" s="68"/>
      <c r="U87" s="68"/>
      <c r="V87" s="68"/>
    </row>
    <row r="88" spans="1:22" ht="14.1" customHeight="1">
      <c r="A88" s="1"/>
      <c r="C88" s="1"/>
      <c r="D88" s="242"/>
      <c r="E88" s="243"/>
      <c r="F88" s="243"/>
      <c r="G88" s="242"/>
      <c r="H88" s="242"/>
      <c r="I88" s="242"/>
      <c r="J88" s="242"/>
      <c r="K88" s="264"/>
      <c r="L88" s="68"/>
      <c r="M88" s="68"/>
      <c r="N88" s="68"/>
      <c r="O88" s="68"/>
      <c r="P88" s="68"/>
      <c r="Q88" s="68"/>
      <c r="R88" s="68"/>
      <c r="S88" s="68"/>
      <c r="T88" s="68"/>
      <c r="U88" s="68"/>
      <c r="V88" s="68"/>
    </row>
    <row r="89" spans="1:22" ht="18.75" customHeight="1">
      <c r="A89" s="299" t="s">
        <v>366</v>
      </c>
      <c r="B89" s="242" t="s">
        <v>365</v>
      </c>
      <c r="C89" s="243"/>
      <c r="D89" s="317">
        <v>1</v>
      </c>
      <c r="E89" s="249" t="s">
        <v>26</v>
      </c>
      <c r="F89" s="243"/>
      <c r="G89" s="242"/>
      <c r="H89" s="242"/>
      <c r="I89" s="242"/>
      <c r="J89" s="242"/>
      <c r="K89" s="264"/>
      <c r="L89" s="68"/>
      <c r="M89" s="68"/>
      <c r="N89" s="68"/>
      <c r="O89" s="68"/>
      <c r="P89" s="68"/>
      <c r="Q89" s="68"/>
      <c r="R89" s="68"/>
      <c r="S89" s="68"/>
      <c r="T89" s="68"/>
      <c r="U89" s="68"/>
      <c r="V89" s="68"/>
    </row>
    <row r="90" spans="1:22" ht="18.75" customHeight="1">
      <c r="A90" s="299"/>
      <c r="B90" s="242"/>
      <c r="C90" s="243"/>
      <c r="D90" s="316"/>
      <c r="E90" s="249"/>
      <c r="F90" s="243"/>
      <c r="G90" s="242"/>
      <c r="H90" s="242"/>
      <c r="I90" s="242"/>
      <c r="J90" s="242"/>
      <c r="K90" s="264"/>
      <c r="L90" s="68"/>
      <c r="M90" s="68"/>
      <c r="N90" s="68"/>
      <c r="O90" s="68"/>
      <c r="P90" s="68"/>
      <c r="Q90" s="68"/>
      <c r="R90" s="68"/>
      <c r="S90" s="68"/>
      <c r="T90" s="68"/>
      <c r="U90" s="68"/>
      <c r="V90" s="68"/>
    </row>
    <row r="91" spans="1:22" ht="12.75" customHeight="1">
      <c r="A91" s="299"/>
      <c r="B91" s="242" t="s">
        <v>364</v>
      </c>
      <c r="C91" s="243"/>
      <c r="D91" s="242"/>
      <c r="E91" s="243"/>
      <c r="F91" s="243"/>
      <c r="G91" s="242"/>
      <c r="H91" s="242"/>
      <c r="I91" s="242"/>
      <c r="J91" s="242"/>
      <c r="K91" s="264"/>
      <c r="L91" s="68"/>
      <c r="M91" s="68"/>
      <c r="N91" s="68"/>
      <c r="O91" s="68"/>
      <c r="P91" s="68"/>
      <c r="Q91" s="68"/>
      <c r="R91" s="68"/>
      <c r="S91" s="68"/>
      <c r="T91" s="68"/>
      <c r="U91" s="68"/>
      <c r="V91" s="68"/>
    </row>
    <row r="92" spans="1:22" ht="14.1" customHeight="1">
      <c r="A92" s="299"/>
      <c r="B92" s="242" t="s">
        <v>363</v>
      </c>
      <c r="C92" s="243"/>
      <c r="D92" s="242"/>
      <c r="E92" s="243"/>
      <c r="F92" s="243"/>
      <c r="G92" s="242"/>
      <c r="H92" s="242"/>
      <c r="I92" s="242"/>
      <c r="J92" s="242"/>
      <c r="K92" s="264"/>
      <c r="L92" s="68"/>
      <c r="M92" s="68"/>
      <c r="N92" s="68"/>
      <c r="O92" s="68"/>
      <c r="P92" s="68"/>
      <c r="Q92" s="68"/>
      <c r="R92" s="68"/>
      <c r="S92" s="68"/>
      <c r="T92" s="68"/>
      <c r="U92" s="68"/>
      <c r="V92" s="68"/>
    </row>
    <row r="93" spans="1:22" ht="14.1" customHeight="1" thickBot="1">
      <c r="A93" s="299"/>
      <c r="B93" s="242"/>
      <c r="C93" s="243"/>
      <c r="D93" s="242"/>
      <c r="E93" s="243"/>
      <c r="F93" s="243"/>
      <c r="G93" s="242"/>
      <c r="H93" s="242"/>
      <c r="I93" s="242"/>
      <c r="J93" s="242"/>
      <c r="K93" s="264"/>
      <c r="L93" s="68"/>
      <c r="M93" s="68"/>
      <c r="N93" s="68"/>
      <c r="O93" s="68"/>
      <c r="P93" s="68"/>
      <c r="Q93" s="68"/>
      <c r="R93" s="68"/>
      <c r="S93" s="68"/>
      <c r="T93" s="68"/>
      <c r="U93" s="68"/>
      <c r="V93" s="68"/>
    </row>
    <row r="94" spans="1:22" ht="19.5" customHeight="1" thickBot="1">
      <c r="A94" s="299"/>
      <c r="B94" s="248" t="s">
        <v>36</v>
      </c>
      <c r="C94" s="309">
        <f>D89</f>
        <v>1</v>
      </c>
      <c r="D94" s="299" t="s">
        <v>362</v>
      </c>
      <c r="E94" s="309">
        <f>D72</f>
        <v>990</v>
      </c>
      <c r="F94" s="249" t="s">
        <v>645</v>
      </c>
      <c r="G94" s="315">
        <f>IF(D89=0,"NA",(C94+0.5)*E94)</f>
        <v>1485</v>
      </c>
      <c r="H94" s="242" t="s">
        <v>614</v>
      </c>
      <c r="I94" s="242"/>
      <c r="J94" s="242"/>
      <c r="K94" s="264"/>
      <c r="L94" s="68"/>
      <c r="M94" s="68"/>
      <c r="N94" s="68"/>
      <c r="O94" s="68"/>
      <c r="P94" s="68"/>
      <c r="Q94" s="68"/>
      <c r="R94" s="68"/>
      <c r="S94" s="68"/>
      <c r="T94" s="68"/>
      <c r="U94" s="68"/>
      <c r="V94" s="68"/>
    </row>
    <row r="95" spans="1:22" ht="19.5" customHeight="1">
      <c r="A95" s="299"/>
      <c r="B95" s="248"/>
      <c r="C95" s="316"/>
      <c r="D95" s="299"/>
      <c r="E95" s="316"/>
      <c r="F95" s="249"/>
      <c r="G95" s="316"/>
      <c r="H95" s="242"/>
      <c r="I95" s="242"/>
      <c r="J95" s="242"/>
      <c r="K95" s="264"/>
      <c r="L95" s="68"/>
      <c r="M95" s="68"/>
      <c r="N95" s="68"/>
      <c r="O95" s="68"/>
      <c r="P95" s="68"/>
      <c r="Q95" s="68"/>
      <c r="R95" s="68"/>
      <c r="S95" s="68"/>
      <c r="T95" s="68"/>
      <c r="U95" s="68"/>
      <c r="V95" s="68"/>
    </row>
    <row r="96" spans="1:22" ht="12.75" customHeight="1">
      <c r="A96" s="299"/>
      <c r="B96" s="242" t="s">
        <v>361</v>
      </c>
      <c r="C96" s="243"/>
      <c r="D96" s="242"/>
      <c r="E96" s="243"/>
      <c r="F96" s="243"/>
      <c r="G96" s="242"/>
      <c r="H96" s="242"/>
      <c r="I96" s="242"/>
      <c r="J96" s="242"/>
      <c r="K96" s="264"/>
      <c r="L96" s="68"/>
      <c r="M96" s="68"/>
      <c r="N96" s="68"/>
      <c r="O96" s="68"/>
      <c r="P96" s="68"/>
      <c r="Q96" s="68"/>
      <c r="R96" s="68"/>
      <c r="S96" s="68"/>
      <c r="T96" s="68"/>
      <c r="U96" s="68"/>
      <c r="V96" s="68"/>
    </row>
    <row r="97" spans="1:22" ht="12.75" customHeight="1" thickBot="1">
      <c r="A97" s="299"/>
      <c r="B97" s="242"/>
      <c r="C97" s="243"/>
      <c r="D97" s="242"/>
      <c r="E97" s="243"/>
      <c r="F97" s="243"/>
      <c r="G97" s="242"/>
      <c r="H97" s="242"/>
      <c r="I97" s="242"/>
      <c r="J97" s="242"/>
      <c r="K97" s="264"/>
      <c r="L97" s="68"/>
      <c r="M97" s="68"/>
      <c r="N97" s="68"/>
      <c r="O97" s="68"/>
      <c r="P97" s="68"/>
      <c r="Q97" s="68"/>
      <c r="R97" s="68"/>
      <c r="S97" s="68"/>
      <c r="T97" s="68"/>
      <c r="U97" s="68"/>
      <c r="V97" s="68"/>
    </row>
    <row r="98" spans="1:22" ht="19.5" thickBot="1">
      <c r="A98" s="299"/>
      <c r="B98" s="242"/>
      <c r="C98" s="309">
        <f>G94</f>
        <v>1485</v>
      </c>
      <c r="D98" s="397" t="s">
        <v>544</v>
      </c>
      <c r="E98" s="315">
        <f>IF(D89=0,"NA",C98/27)</f>
        <v>55</v>
      </c>
      <c r="F98" s="316"/>
      <c r="G98" s="242" t="s">
        <v>622</v>
      </c>
      <c r="H98" s="242"/>
      <c r="I98" s="242"/>
      <c r="J98" s="242"/>
      <c r="K98" s="264"/>
      <c r="L98" s="68"/>
      <c r="M98" s="68"/>
      <c r="N98" s="68"/>
      <c r="O98" s="68"/>
      <c r="P98" s="68"/>
      <c r="Q98" s="68"/>
      <c r="R98" s="68"/>
      <c r="S98" s="68"/>
      <c r="T98" s="68"/>
      <c r="U98" s="68"/>
      <c r="V98" s="68"/>
    </row>
    <row r="99" spans="1:22" ht="14.1" customHeight="1">
      <c r="A99" s="299"/>
      <c r="B99" s="242"/>
      <c r="C99" s="316"/>
      <c r="D99" s="397"/>
      <c r="E99" s="316"/>
      <c r="F99" s="316"/>
      <c r="G99" s="242"/>
      <c r="H99" s="242"/>
      <c r="I99" s="242"/>
      <c r="J99" s="242"/>
      <c r="K99" s="264"/>
      <c r="L99" s="68"/>
      <c r="M99" s="68"/>
      <c r="N99" s="68"/>
      <c r="O99" s="68"/>
      <c r="P99" s="68"/>
      <c r="Q99" s="68"/>
      <c r="R99" s="68"/>
      <c r="S99" s="68"/>
      <c r="T99" s="68"/>
      <c r="U99" s="68"/>
      <c r="V99" s="68"/>
    </row>
    <row r="100" spans="1:22" ht="15.75">
      <c r="A100" s="299"/>
      <c r="B100" s="242" t="s">
        <v>360</v>
      </c>
      <c r="C100" s="243"/>
      <c r="D100" s="242"/>
      <c r="E100" s="243"/>
      <c r="F100" s="243"/>
      <c r="G100" s="242"/>
      <c r="H100" s="242"/>
      <c r="I100" s="242"/>
      <c r="J100" s="242"/>
      <c r="K100" s="264"/>
      <c r="L100" s="68"/>
      <c r="M100" s="68"/>
      <c r="N100" s="68"/>
      <c r="O100" s="68"/>
      <c r="P100" s="68"/>
      <c r="Q100" s="68"/>
      <c r="R100" s="68"/>
      <c r="S100" s="68"/>
      <c r="T100" s="68"/>
      <c r="U100" s="68"/>
      <c r="V100" s="68"/>
    </row>
    <row r="101" spans="1:22" ht="16.5" thickBot="1">
      <c r="A101" s="299"/>
      <c r="B101" s="242"/>
      <c r="C101" s="243"/>
      <c r="D101" s="242"/>
      <c r="E101" s="243"/>
      <c r="F101" s="243"/>
      <c r="G101" s="242"/>
      <c r="H101" s="242"/>
      <c r="I101" s="242"/>
      <c r="J101" s="242"/>
      <c r="K101" s="264"/>
      <c r="L101" s="68"/>
      <c r="M101" s="68"/>
      <c r="N101" s="68"/>
      <c r="O101" s="68"/>
      <c r="P101" s="68"/>
      <c r="Q101" s="68"/>
      <c r="R101" s="68"/>
      <c r="S101" s="68"/>
      <c r="T101" s="68"/>
      <c r="U101" s="68"/>
      <c r="V101" s="68"/>
    </row>
    <row r="102" spans="1:22" ht="16.5" thickBot="1">
      <c r="A102" s="299"/>
      <c r="B102" s="242"/>
      <c r="C102" s="309">
        <f>E98</f>
        <v>55</v>
      </c>
      <c r="D102" s="243" t="s">
        <v>545</v>
      </c>
      <c r="E102" s="315">
        <f>IF(D89=0,"NA",C102*1.4)</f>
        <v>77</v>
      </c>
      <c r="F102" s="316"/>
      <c r="G102" s="242" t="s">
        <v>60</v>
      </c>
      <c r="H102" s="242"/>
      <c r="I102" s="242"/>
      <c r="J102" s="242"/>
      <c r="K102" s="264"/>
      <c r="L102" s="68"/>
      <c r="M102" s="68"/>
      <c r="N102" s="68"/>
      <c r="O102" s="68"/>
      <c r="P102" s="68"/>
      <c r="Q102" s="68"/>
      <c r="R102" s="68"/>
      <c r="S102" s="68"/>
      <c r="T102" s="68"/>
      <c r="U102" s="68"/>
      <c r="V102" s="68"/>
    </row>
    <row r="103" spans="1:22" ht="12.75" customHeight="1">
      <c r="A103" s="299"/>
      <c r="B103" s="242"/>
      <c r="C103" s="316"/>
      <c r="D103" s="243"/>
      <c r="E103" s="243"/>
      <c r="F103" s="316"/>
      <c r="G103" s="242"/>
      <c r="H103" s="242"/>
      <c r="I103" s="242"/>
      <c r="J103" s="242"/>
      <c r="K103" s="264"/>
      <c r="L103" s="68"/>
      <c r="M103" s="68"/>
      <c r="N103" s="68"/>
      <c r="O103" s="68"/>
      <c r="P103" s="68"/>
      <c r="Q103" s="68"/>
      <c r="R103" s="68"/>
      <c r="S103" s="68"/>
      <c r="T103" s="68"/>
      <c r="U103" s="68"/>
      <c r="V103" s="68"/>
    </row>
    <row r="104" spans="1:22" ht="12.75" customHeight="1" thickBot="1">
      <c r="A104" s="299"/>
      <c r="B104" s="242"/>
      <c r="C104" s="316"/>
      <c r="D104" s="243"/>
      <c r="E104" s="243"/>
      <c r="F104" s="316"/>
      <c r="G104" s="242"/>
      <c r="H104" s="242"/>
      <c r="I104" s="242"/>
      <c r="J104" s="242"/>
      <c r="K104" s="264"/>
      <c r="L104" s="68"/>
      <c r="M104" s="68"/>
      <c r="N104" s="68"/>
      <c r="O104" s="68"/>
      <c r="P104" s="68"/>
      <c r="Q104" s="68"/>
      <c r="R104" s="68"/>
      <c r="S104" s="68"/>
      <c r="T104" s="68"/>
      <c r="U104" s="68"/>
      <c r="V104" s="68"/>
    </row>
    <row r="105" spans="1:22" ht="16.5" thickBot="1">
      <c r="A105" s="242"/>
      <c r="B105" s="302" t="s">
        <v>359</v>
      </c>
      <c r="C105" s="244"/>
      <c r="D105" s="316"/>
      <c r="E105" s="309">
        <f>E102</f>
        <v>77</v>
      </c>
      <c r="F105" s="245" t="s">
        <v>358</v>
      </c>
      <c r="G105" s="315">
        <f>IF(D89=0,"NA",1.1*E102)</f>
        <v>84.7</v>
      </c>
      <c r="H105" s="242" t="s">
        <v>60</v>
      </c>
      <c r="I105" s="242"/>
      <c r="J105" s="242"/>
      <c r="K105" s="264"/>
      <c r="L105" s="68"/>
      <c r="M105" s="68"/>
      <c r="N105" s="68"/>
      <c r="O105" s="68"/>
      <c r="P105" s="68"/>
      <c r="Q105" s="68"/>
      <c r="R105" s="68"/>
      <c r="S105" s="68"/>
      <c r="T105" s="68"/>
      <c r="U105" s="68"/>
      <c r="V105" s="68"/>
    </row>
    <row r="106" spans="1:22" ht="12.75" customHeight="1">
      <c r="A106" s="299"/>
      <c r="B106" s="242"/>
      <c r="C106" s="316"/>
      <c r="D106" s="243"/>
      <c r="E106" s="316"/>
      <c r="F106" s="316"/>
      <c r="G106" s="242"/>
      <c r="H106" s="242"/>
      <c r="I106" s="242"/>
      <c r="J106" s="242"/>
      <c r="K106" s="264"/>
      <c r="L106" s="68"/>
      <c r="M106" s="68"/>
      <c r="N106" s="68"/>
      <c r="O106" s="68"/>
      <c r="P106" s="68"/>
      <c r="Q106" s="68"/>
      <c r="R106" s="68"/>
      <c r="S106" s="68"/>
      <c r="T106" s="68"/>
      <c r="U106" s="68"/>
      <c r="V106" s="68"/>
    </row>
    <row r="107" spans="1:22" s="4" customFormat="1" ht="12" customHeight="1">
      <c r="A107" s="256"/>
      <c r="B107" s="256"/>
      <c r="C107" s="256"/>
      <c r="D107" s="256"/>
      <c r="E107" s="256"/>
      <c r="F107" s="256"/>
      <c r="G107" s="256"/>
      <c r="H107" s="256"/>
      <c r="I107" s="256"/>
      <c r="J107" s="256"/>
      <c r="K107" s="256"/>
      <c r="O107" s="67"/>
      <c r="P107" s="67"/>
      <c r="Q107" s="67"/>
      <c r="R107" s="67"/>
      <c r="S107" s="67"/>
      <c r="T107" s="67"/>
      <c r="U107" s="67"/>
      <c r="V107" s="67"/>
    </row>
    <row r="108" spans="1:22" ht="15.75">
      <c r="A108" s="271"/>
      <c r="B108" s="264"/>
      <c r="C108" s="263"/>
      <c r="D108" s="264"/>
      <c r="E108" s="263"/>
      <c r="F108" s="263"/>
      <c r="G108" s="264"/>
      <c r="H108" s="264"/>
      <c r="I108" s="264"/>
      <c r="J108" s="264"/>
      <c r="K108" s="242"/>
      <c r="O108" s="68"/>
      <c r="P108" s="68"/>
      <c r="Q108" s="68"/>
      <c r="R108" s="68"/>
      <c r="S108" s="68"/>
      <c r="T108" s="68"/>
      <c r="U108" s="68"/>
      <c r="V108" s="68"/>
    </row>
    <row r="109" spans="1:22" ht="12.75" customHeight="1">
      <c r="A109" s="271"/>
      <c r="B109" s="264"/>
      <c r="C109" s="263"/>
      <c r="D109" s="264"/>
      <c r="E109" s="263"/>
      <c r="F109" s="263"/>
      <c r="G109" s="264"/>
      <c r="H109" s="264"/>
      <c r="I109" s="264"/>
      <c r="J109" s="264"/>
      <c r="K109" s="242"/>
      <c r="O109" s="68"/>
      <c r="P109" s="68"/>
      <c r="Q109" s="68"/>
      <c r="R109" s="68"/>
      <c r="S109" s="68"/>
      <c r="T109" s="68"/>
      <c r="U109" s="68"/>
      <c r="V109" s="68"/>
    </row>
    <row r="110" spans="1:22" ht="12.75" customHeight="1">
      <c r="A110" s="271"/>
      <c r="B110" s="264"/>
      <c r="C110" s="263"/>
      <c r="D110" s="264"/>
      <c r="E110" s="263"/>
      <c r="F110" s="263"/>
      <c r="G110" s="264"/>
      <c r="H110" s="264"/>
      <c r="I110" s="264"/>
      <c r="J110" s="264"/>
      <c r="K110" s="242"/>
      <c r="O110" s="68"/>
      <c r="P110" s="68"/>
      <c r="Q110" s="68"/>
      <c r="R110" s="68"/>
      <c r="S110" s="68"/>
      <c r="T110" s="68"/>
      <c r="U110" s="68"/>
      <c r="V110" s="68"/>
    </row>
    <row r="111" spans="1:22" ht="12.75" customHeight="1">
      <c r="A111" s="271"/>
      <c r="B111" s="264"/>
      <c r="C111" s="263"/>
      <c r="D111" s="264"/>
      <c r="E111" s="263"/>
      <c r="F111" s="263"/>
      <c r="G111" s="264"/>
      <c r="H111" s="264"/>
      <c r="I111" s="264"/>
      <c r="J111" s="264"/>
      <c r="K111" s="242"/>
      <c r="O111" s="68"/>
      <c r="P111" s="68"/>
      <c r="Q111" s="68"/>
      <c r="R111" s="68"/>
      <c r="S111" s="68"/>
      <c r="T111" s="68"/>
      <c r="U111" s="68"/>
      <c r="V111" s="68"/>
    </row>
    <row r="112" spans="1:22" ht="12.75" customHeight="1">
      <c r="A112" s="271"/>
      <c r="B112" s="264"/>
      <c r="C112" s="263"/>
      <c r="D112" s="264"/>
      <c r="E112" s="263"/>
      <c r="F112" s="263"/>
      <c r="G112" s="264"/>
      <c r="H112" s="264"/>
      <c r="I112" s="264"/>
      <c r="J112" s="264"/>
      <c r="K112" s="242"/>
      <c r="O112" s="68"/>
      <c r="P112" s="68"/>
      <c r="Q112" s="68"/>
      <c r="R112" s="68"/>
      <c r="S112" s="68"/>
      <c r="T112" s="68"/>
      <c r="U112" s="68"/>
      <c r="V112" s="68"/>
    </row>
    <row r="113" spans="1:22" ht="15.75">
      <c r="A113" s="271"/>
      <c r="B113" s="264"/>
      <c r="C113" s="263"/>
      <c r="D113" s="264"/>
      <c r="E113" s="263"/>
      <c r="F113" s="263"/>
      <c r="G113" s="264"/>
      <c r="H113" s="264"/>
      <c r="I113" s="264"/>
      <c r="J113" s="264"/>
      <c r="K113" s="242"/>
      <c r="O113" s="68"/>
      <c r="P113" s="68"/>
      <c r="Q113" s="68"/>
      <c r="R113" s="68"/>
      <c r="S113" s="68"/>
      <c r="T113" s="68"/>
      <c r="U113" s="68"/>
      <c r="V113" s="68"/>
    </row>
    <row r="114" spans="1:22" ht="12.75" customHeight="1">
      <c r="A114" s="271"/>
      <c r="B114" s="264"/>
      <c r="C114" s="263"/>
      <c r="D114" s="264"/>
      <c r="E114" s="263"/>
      <c r="F114" s="263"/>
      <c r="G114" s="264"/>
      <c r="H114" s="264"/>
      <c r="I114" s="264"/>
      <c r="J114" s="264"/>
      <c r="K114" s="242"/>
      <c r="L114" s="68"/>
      <c r="M114" s="70"/>
      <c r="N114" s="68"/>
      <c r="O114" s="68"/>
      <c r="P114" s="68"/>
      <c r="Q114" s="68"/>
      <c r="R114" s="68"/>
      <c r="S114" s="68"/>
      <c r="T114" s="68"/>
      <c r="U114" s="68"/>
      <c r="V114" s="68"/>
    </row>
    <row r="115" spans="1:22" ht="12.75" customHeight="1">
      <c r="A115" s="271"/>
      <c r="B115" s="264"/>
      <c r="C115" s="263"/>
      <c r="D115" s="264"/>
      <c r="E115" s="263"/>
      <c r="F115" s="263"/>
      <c r="G115" s="264"/>
      <c r="H115" s="264"/>
      <c r="I115" s="264"/>
      <c r="J115" s="264"/>
      <c r="K115" s="242"/>
      <c r="L115" s="68"/>
      <c r="M115" s="68"/>
      <c r="N115" s="68"/>
      <c r="O115" s="68"/>
      <c r="P115" s="68"/>
      <c r="Q115" s="68"/>
      <c r="R115" s="68"/>
      <c r="S115" s="68"/>
      <c r="T115" s="68"/>
      <c r="U115" s="68"/>
      <c r="V115" s="68"/>
    </row>
    <row r="116" spans="1:22" ht="12.75" customHeight="1">
      <c r="A116" s="271"/>
      <c r="B116" s="264"/>
      <c r="C116" s="263"/>
      <c r="D116" s="264"/>
      <c r="E116" s="263"/>
      <c r="F116" s="263"/>
      <c r="G116" s="264"/>
      <c r="H116" s="264"/>
      <c r="I116" s="264"/>
      <c r="J116" s="264"/>
      <c r="K116" s="242"/>
      <c r="L116" s="68"/>
      <c r="M116" s="68"/>
      <c r="N116" s="68"/>
      <c r="O116" s="68"/>
      <c r="P116" s="68"/>
      <c r="Q116" s="68"/>
      <c r="R116" s="68"/>
      <c r="S116" s="68"/>
      <c r="T116" s="68"/>
      <c r="U116" s="68"/>
      <c r="V116" s="68"/>
    </row>
    <row r="117" spans="1:22" ht="12.75" customHeight="1">
      <c r="A117" s="271"/>
      <c r="B117" s="264"/>
      <c r="C117" s="263"/>
      <c r="D117" s="264"/>
      <c r="E117" s="263"/>
      <c r="F117" s="263"/>
      <c r="G117" s="264"/>
      <c r="H117" s="264"/>
      <c r="I117" s="264"/>
      <c r="J117" s="264"/>
      <c r="K117" s="242"/>
      <c r="L117" s="68"/>
      <c r="M117" s="68"/>
      <c r="N117" s="68"/>
      <c r="O117" s="68"/>
      <c r="P117" s="68"/>
      <c r="Q117" s="68"/>
      <c r="R117" s="68"/>
      <c r="S117" s="68"/>
      <c r="T117" s="68"/>
      <c r="U117" s="68"/>
      <c r="V117" s="68"/>
    </row>
    <row r="118" spans="1:22" ht="14.1" customHeight="1">
      <c r="A118" s="271"/>
      <c r="B118" s="264"/>
      <c r="C118" s="263"/>
      <c r="D118" s="264"/>
      <c r="E118" s="263"/>
      <c r="F118" s="263"/>
      <c r="G118" s="264"/>
      <c r="H118" s="264"/>
      <c r="I118" s="264"/>
      <c r="J118" s="264"/>
      <c r="K118" s="242"/>
      <c r="L118" s="68"/>
      <c r="M118" s="68"/>
      <c r="N118" s="68"/>
      <c r="O118" s="68"/>
      <c r="P118" s="68"/>
      <c r="Q118" s="68"/>
      <c r="R118" s="68"/>
      <c r="S118" s="68"/>
      <c r="T118" s="68"/>
      <c r="U118" s="68"/>
      <c r="V118" s="68"/>
    </row>
    <row r="119" spans="1:22" ht="12.75" customHeight="1">
      <c r="A119" s="271"/>
      <c r="B119" s="264"/>
      <c r="C119" s="263"/>
      <c r="D119" s="264"/>
      <c r="E119" s="263"/>
      <c r="F119" s="263"/>
      <c r="G119" s="264"/>
      <c r="H119" s="264"/>
      <c r="I119" s="264"/>
      <c r="J119" s="264"/>
      <c r="K119" s="242"/>
      <c r="L119" s="68"/>
      <c r="M119" s="68"/>
      <c r="N119" s="68"/>
      <c r="O119" s="68"/>
      <c r="P119" s="68"/>
      <c r="Q119" s="68"/>
      <c r="R119" s="68"/>
      <c r="S119" s="68"/>
      <c r="T119" s="68"/>
      <c r="U119" s="68"/>
      <c r="V119" s="68"/>
    </row>
    <row r="120" spans="1:22" ht="12.75" customHeight="1">
      <c r="A120" s="271"/>
      <c r="B120" s="264"/>
      <c r="C120" s="263"/>
      <c r="D120" s="264"/>
      <c r="E120" s="263"/>
      <c r="F120" s="263"/>
      <c r="G120" s="264"/>
      <c r="H120" s="264"/>
      <c r="I120" s="264"/>
      <c r="J120" s="264"/>
      <c r="K120" s="242"/>
      <c r="L120" s="68"/>
      <c r="M120" s="68"/>
      <c r="N120" s="68"/>
      <c r="O120" s="68"/>
      <c r="P120" s="68"/>
      <c r="Q120" s="68"/>
      <c r="R120" s="68"/>
      <c r="S120" s="68"/>
      <c r="T120" s="68"/>
      <c r="U120" s="68"/>
      <c r="V120" s="68"/>
    </row>
    <row r="121" spans="1:22" ht="12.75" customHeight="1">
      <c r="A121" s="271"/>
      <c r="B121" s="264"/>
      <c r="C121" s="263"/>
      <c r="D121" s="264"/>
      <c r="E121" s="263"/>
      <c r="F121" s="263"/>
      <c r="G121" s="264"/>
      <c r="H121" s="264"/>
      <c r="I121" s="264"/>
      <c r="J121" s="264"/>
      <c r="K121" s="242"/>
      <c r="L121" s="68"/>
      <c r="M121" s="68"/>
      <c r="N121" s="68"/>
      <c r="O121" s="68"/>
      <c r="P121" s="68"/>
      <c r="Q121" s="68"/>
      <c r="R121" s="68"/>
      <c r="S121" s="68"/>
      <c r="T121" s="68"/>
      <c r="U121" s="68"/>
      <c r="V121" s="68"/>
    </row>
    <row r="122" spans="1:22" ht="12.75" customHeight="1">
      <c r="A122" s="271"/>
      <c r="B122" s="264"/>
      <c r="C122" s="263"/>
      <c r="D122" s="264"/>
      <c r="E122" s="263"/>
      <c r="F122" s="263"/>
      <c r="G122" s="264"/>
      <c r="H122" s="264"/>
      <c r="I122" s="264"/>
      <c r="J122" s="264"/>
      <c r="K122" s="242"/>
      <c r="L122" s="68"/>
      <c r="M122" s="68"/>
      <c r="N122" s="68"/>
      <c r="O122" s="68"/>
      <c r="P122" s="68"/>
      <c r="Q122" s="68"/>
      <c r="R122" s="68"/>
      <c r="S122" s="68"/>
      <c r="T122" s="68"/>
      <c r="U122" s="68"/>
      <c r="V122" s="68"/>
    </row>
    <row r="123" spans="1:22" ht="12.75" customHeight="1">
      <c r="A123" s="271"/>
      <c r="B123" s="264"/>
      <c r="C123" s="263"/>
      <c r="D123" s="264"/>
      <c r="E123" s="263"/>
      <c r="F123" s="263"/>
      <c r="G123" s="264"/>
      <c r="H123" s="264"/>
      <c r="I123" s="264"/>
      <c r="J123" s="264"/>
      <c r="K123" s="242"/>
      <c r="L123" s="68"/>
      <c r="M123" s="68"/>
      <c r="N123" s="68"/>
      <c r="O123" s="68"/>
      <c r="P123" s="68"/>
      <c r="Q123" s="68"/>
      <c r="R123" s="68"/>
      <c r="S123" s="68"/>
      <c r="T123" s="68"/>
      <c r="U123" s="68"/>
      <c r="V123" s="68"/>
    </row>
    <row r="124" spans="1:22" ht="6.75" customHeight="1">
      <c r="A124" s="271"/>
      <c r="B124" s="264"/>
      <c r="C124" s="263"/>
      <c r="D124" s="264"/>
      <c r="E124" s="263"/>
      <c r="F124" s="263"/>
      <c r="G124" s="264"/>
      <c r="H124" s="264"/>
      <c r="I124" s="264"/>
      <c r="J124" s="264"/>
      <c r="K124" s="242"/>
      <c r="L124" s="68"/>
      <c r="M124" s="68"/>
      <c r="N124" s="68"/>
      <c r="O124" s="68"/>
      <c r="P124" s="68"/>
      <c r="Q124" s="68"/>
      <c r="R124" s="68"/>
      <c r="S124" s="68"/>
      <c r="T124" s="68"/>
      <c r="U124" s="68"/>
      <c r="V124" s="68"/>
    </row>
    <row r="125" spans="1:22" s="7" customFormat="1" ht="12.75" customHeight="1">
      <c r="A125" s="14"/>
      <c r="B125" s="14"/>
      <c r="C125" s="14"/>
      <c r="D125" s="14"/>
      <c r="E125" s="14"/>
      <c r="F125" s="14"/>
      <c r="G125" s="14"/>
      <c r="H125" s="14"/>
      <c r="I125" s="14"/>
      <c r="J125" s="14"/>
      <c r="K125" s="298"/>
      <c r="L125" s="70"/>
      <c r="M125" s="70"/>
      <c r="N125" s="70"/>
      <c r="O125" s="70"/>
      <c r="P125" s="70"/>
      <c r="Q125" s="70"/>
      <c r="R125" s="70"/>
      <c r="S125" s="70"/>
      <c r="T125" s="70"/>
      <c r="U125" s="70"/>
      <c r="V125" s="70"/>
    </row>
    <row r="126" spans="1:22" ht="12.75" customHeight="1">
      <c r="A126" s="271"/>
      <c r="B126" s="264"/>
      <c r="C126" s="263"/>
      <c r="D126" s="264"/>
      <c r="E126" s="263"/>
      <c r="F126" s="263"/>
      <c r="G126" s="264"/>
      <c r="H126" s="264"/>
      <c r="I126" s="264"/>
      <c r="J126" s="264"/>
      <c r="K126" s="242"/>
      <c r="L126" s="68"/>
      <c r="M126" s="68"/>
      <c r="N126" s="68"/>
      <c r="O126" s="68"/>
      <c r="P126" s="68"/>
      <c r="Q126" s="68"/>
      <c r="R126" s="68"/>
      <c r="S126" s="68"/>
      <c r="T126" s="68"/>
      <c r="U126" s="68"/>
      <c r="V126" s="68"/>
    </row>
    <row r="127" spans="1:22" ht="12.75" customHeight="1">
      <c r="A127" s="271"/>
      <c r="B127" s="264"/>
      <c r="C127" s="263"/>
      <c r="D127" s="264"/>
      <c r="E127" s="263"/>
      <c r="F127" s="263"/>
      <c r="G127" s="264"/>
      <c r="H127" s="264"/>
      <c r="I127" s="264"/>
      <c r="J127" s="264"/>
      <c r="K127" s="242"/>
      <c r="L127" s="68"/>
      <c r="M127" s="68"/>
      <c r="N127" s="68"/>
      <c r="O127" s="68"/>
      <c r="P127" s="68"/>
      <c r="Q127" s="68"/>
      <c r="R127" s="68"/>
      <c r="S127" s="68"/>
      <c r="T127" s="68"/>
      <c r="U127" s="68"/>
      <c r="V127" s="68"/>
    </row>
    <row r="128" spans="1:22" ht="12.75" customHeight="1">
      <c r="A128" s="271"/>
      <c r="B128" s="264"/>
      <c r="C128" s="263"/>
      <c r="D128" s="264"/>
      <c r="E128" s="263"/>
      <c r="F128" s="263"/>
      <c r="G128" s="264"/>
      <c r="H128" s="264"/>
      <c r="I128" s="264"/>
      <c r="J128" s="264"/>
      <c r="K128" s="242"/>
      <c r="L128" s="68"/>
      <c r="M128" s="68"/>
      <c r="N128" s="68"/>
      <c r="O128" s="68"/>
      <c r="P128" s="68"/>
      <c r="Q128" s="68"/>
      <c r="R128" s="68"/>
      <c r="S128" s="68"/>
      <c r="T128" s="68"/>
      <c r="U128" s="68"/>
      <c r="V128" s="68"/>
    </row>
    <row r="129" spans="1:22" ht="12.75" customHeight="1">
      <c r="A129" s="271"/>
      <c r="B129" s="264"/>
      <c r="C129" s="263"/>
      <c r="D129" s="264"/>
      <c r="E129" s="263"/>
      <c r="F129" s="263"/>
      <c r="G129" s="264"/>
      <c r="H129" s="264"/>
      <c r="I129" s="264"/>
      <c r="J129" s="264"/>
      <c r="K129" s="242"/>
      <c r="L129" s="68"/>
      <c r="M129" s="68"/>
      <c r="N129" s="68"/>
      <c r="O129" s="68"/>
      <c r="P129" s="68"/>
      <c r="Q129" s="68"/>
      <c r="R129" s="68"/>
      <c r="S129" s="68"/>
      <c r="T129" s="68"/>
      <c r="U129" s="68"/>
      <c r="V129" s="68"/>
    </row>
    <row r="130" spans="1:22" ht="7.5" customHeight="1">
      <c r="A130" s="299"/>
      <c r="B130" s="242"/>
      <c r="C130" s="243"/>
      <c r="D130" s="242"/>
      <c r="E130" s="243"/>
      <c r="F130" s="243"/>
      <c r="G130" s="242"/>
      <c r="H130" s="242"/>
      <c r="I130" s="242"/>
      <c r="J130" s="242"/>
      <c r="K130" s="242"/>
      <c r="L130" s="68"/>
      <c r="M130" s="68"/>
      <c r="N130" s="68"/>
      <c r="O130" s="68"/>
      <c r="P130" s="68"/>
      <c r="Q130" s="68"/>
      <c r="R130" s="68"/>
      <c r="S130" s="68"/>
      <c r="T130" s="68"/>
      <c r="U130" s="68"/>
      <c r="V130" s="68"/>
    </row>
    <row r="131" spans="1:22" ht="12.75" customHeight="1">
      <c r="A131" s="271"/>
      <c r="B131" s="264"/>
      <c r="C131" s="263"/>
      <c r="D131" s="264"/>
      <c r="E131" s="263"/>
      <c r="F131" s="263"/>
      <c r="G131" s="264"/>
      <c r="H131" s="264"/>
      <c r="I131" s="264"/>
      <c r="J131" s="264"/>
      <c r="K131" s="244"/>
      <c r="L131" s="68"/>
      <c r="M131" s="68"/>
      <c r="N131" s="68"/>
      <c r="O131" s="68"/>
      <c r="P131" s="68"/>
      <c r="Q131" s="68"/>
      <c r="R131" s="68"/>
      <c r="S131" s="68"/>
      <c r="T131" s="68"/>
      <c r="U131" s="68"/>
      <c r="V131" s="68"/>
    </row>
    <row r="132" spans="1:22" ht="12.75" customHeight="1">
      <c r="A132" s="271"/>
      <c r="B132" s="264"/>
      <c r="C132" s="263"/>
      <c r="D132" s="264"/>
      <c r="E132" s="263"/>
      <c r="F132" s="263"/>
      <c r="G132" s="264"/>
      <c r="H132" s="264"/>
      <c r="I132" s="264"/>
      <c r="J132" s="264"/>
      <c r="K132" s="244"/>
      <c r="L132" s="68"/>
      <c r="M132" s="68"/>
      <c r="N132" s="68"/>
      <c r="O132" s="68"/>
      <c r="P132" s="68"/>
      <c r="Q132" s="68"/>
      <c r="R132" s="68"/>
      <c r="S132" s="68"/>
      <c r="T132" s="68"/>
      <c r="U132" s="68"/>
      <c r="V132" s="68"/>
    </row>
    <row r="133" spans="1:22" ht="12.75" customHeight="1">
      <c r="A133" s="271"/>
      <c r="B133" s="264"/>
      <c r="C133" s="263"/>
      <c r="D133" s="264"/>
      <c r="E133" s="263"/>
      <c r="F133" s="263"/>
      <c r="G133" s="264"/>
      <c r="H133" s="264"/>
      <c r="I133" s="264"/>
      <c r="J133" s="264"/>
      <c r="K133" s="244"/>
      <c r="L133" s="68"/>
      <c r="M133" s="68"/>
      <c r="N133" s="68"/>
      <c r="O133" s="68"/>
      <c r="P133" s="68"/>
      <c r="Q133" s="68"/>
      <c r="R133" s="68"/>
      <c r="S133" s="68"/>
      <c r="T133" s="68"/>
      <c r="U133" s="68"/>
      <c r="V133" s="68"/>
    </row>
    <row r="134" spans="1:22" ht="12.75" customHeight="1">
      <c r="K134" s="67"/>
      <c r="L134" s="68"/>
      <c r="M134" s="68"/>
      <c r="N134" s="68"/>
      <c r="O134" s="68"/>
      <c r="P134" s="68"/>
      <c r="Q134" s="68"/>
      <c r="R134" s="68"/>
      <c r="S134" s="68"/>
      <c r="T134" s="68"/>
      <c r="U134" s="68"/>
      <c r="V134" s="68"/>
    </row>
    <row r="135" spans="1:22" ht="15.75">
      <c r="K135" s="67"/>
      <c r="L135" s="68"/>
      <c r="M135" s="68"/>
      <c r="N135" s="68"/>
      <c r="O135" s="68"/>
      <c r="P135" s="68"/>
      <c r="Q135" s="68"/>
      <c r="R135" s="68"/>
      <c r="S135" s="68"/>
      <c r="T135" s="68"/>
      <c r="U135" s="68"/>
      <c r="V135" s="68"/>
    </row>
    <row r="136" spans="1:22" ht="15.75">
      <c r="K136" s="68"/>
      <c r="L136" s="68"/>
      <c r="M136" s="68"/>
      <c r="N136" s="68"/>
      <c r="O136" s="68"/>
      <c r="P136" s="68"/>
      <c r="Q136" s="68"/>
      <c r="R136" s="68"/>
      <c r="S136" s="68"/>
      <c r="T136" s="68"/>
      <c r="U136" s="68"/>
      <c r="V136" s="68"/>
    </row>
    <row r="137" spans="1:22" ht="15.75">
      <c r="K137" s="68"/>
      <c r="L137" s="68"/>
      <c r="M137" s="68"/>
      <c r="N137" s="68"/>
      <c r="O137" s="68"/>
      <c r="P137" s="68"/>
      <c r="Q137" s="68"/>
      <c r="R137" s="68"/>
      <c r="S137" s="68"/>
      <c r="T137" s="68"/>
      <c r="U137" s="68"/>
      <c r="V137" s="68"/>
    </row>
    <row r="138" spans="1:22" ht="15.75">
      <c r="K138" s="68"/>
      <c r="L138" s="68"/>
      <c r="M138" s="68"/>
      <c r="N138" s="68"/>
      <c r="O138" s="68"/>
      <c r="P138" s="68"/>
      <c r="Q138" s="68"/>
      <c r="R138" s="68"/>
      <c r="S138" s="68"/>
      <c r="T138" s="68"/>
      <c r="U138" s="68"/>
      <c r="V138" s="68"/>
    </row>
    <row r="139" spans="1:22" ht="15.75">
      <c r="K139" s="68"/>
      <c r="L139" s="68"/>
      <c r="M139" s="68"/>
      <c r="N139" s="68"/>
      <c r="O139" s="68"/>
      <c r="P139" s="68"/>
      <c r="Q139" s="68"/>
      <c r="R139" s="68"/>
      <c r="S139" s="68"/>
      <c r="T139" s="68"/>
      <c r="U139" s="68"/>
      <c r="V139" s="68"/>
    </row>
  </sheetData>
  <mergeCells count="5">
    <mergeCell ref="F40:G40"/>
    <mergeCell ref="C26:D26"/>
    <mergeCell ref="A1:E2"/>
    <mergeCell ref="H1:J1"/>
    <mergeCell ref="H2:J2"/>
  </mergeCells>
  <dataValidations count="1">
    <dataValidation type="list" showInputMessage="1" showErrorMessage="1" sqref="D89">
      <formula1>mediabps</formula1>
    </dataValidation>
  </dataValidations>
  <pageMargins left="0.5" right="0.5" top="0.5" bottom="0.25" header="0.5" footer="0.5"/>
  <pageSetup scale="75" fitToHeight="2" orientation="portrait" horizontalDpi="300" verticalDpi="300" r:id="rId1"/>
  <headerFooter alignWithMargins="0">
    <oddFooter>&amp;RPage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2" r:id="rId4" name="Group Box 2">
              <controlPr defaultSize="0" autoFill="0" autoPict="0">
                <anchor moveWithCells="1">
                  <from>
                    <xdr:col>1</xdr:col>
                    <xdr:colOff>180975</xdr:colOff>
                    <xdr:row>35</xdr:row>
                    <xdr:rowOff>257175</xdr:rowOff>
                  </from>
                  <to>
                    <xdr:col>2</xdr:col>
                    <xdr:colOff>561975</xdr:colOff>
                    <xdr:row>40</xdr:row>
                    <xdr:rowOff>28575</xdr:rowOff>
                  </to>
                </anchor>
              </controlPr>
            </control>
          </mc:Choice>
        </mc:AlternateContent>
        <mc:AlternateContent xmlns:mc="http://schemas.openxmlformats.org/markup-compatibility/2006">
          <mc:Choice Requires="x14">
            <control shapeId="5123" r:id="rId5" name="Check Box 3">
              <controlPr defaultSize="0" autoFill="0" autoLine="0" autoPict="0">
                <anchor moveWithCells="1">
                  <from>
                    <xdr:col>1</xdr:col>
                    <xdr:colOff>352425</xdr:colOff>
                    <xdr:row>35</xdr:row>
                    <xdr:rowOff>342900</xdr:rowOff>
                  </from>
                  <to>
                    <xdr:col>2</xdr:col>
                    <xdr:colOff>495300</xdr:colOff>
                    <xdr:row>37</xdr:row>
                    <xdr:rowOff>171450</xdr:rowOff>
                  </to>
                </anchor>
              </controlPr>
            </control>
          </mc:Choice>
        </mc:AlternateContent>
        <mc:AlternateContent xmlns:mc="http://schemas.openxmlformats.org/markup-compatibility/2006">
          <mc:Choice Requires="x14">
            <control shapeId="5124" r:id="rId6" name="Check Box 4">
              <controlPr defaultSize="0" autoFill="0" autoLine="0" autoPict="0">
                <anchor moveWithCells="1">
                  <from>
                    <xdr:col>1</xdr:col>
                    <xdr:colOff>352425</xdr:colOff>
                    <xdr:row>37</xdr:row>
                    <xdr:rowOff>85725</xdr:rowOff>
                  </from>
                  <to>
                    <xdr:col>2</xdr:col>
                    <xdr:colOff>457200</xdr:colOff>
                    <xdr:row>38</xdr:row>
                    <xdr:rowOff>104775</xdr:rowOff>
                  </to>
                </anchor>
              </controlPr>
            </control>
          </mc:Choice>
        </mc:AlternateContent>
        <mc:AlternateContent xmlns:mc="http://schemas.openxmlformats.org/markup-compatibility/2006">
          <mc:Choice Requires="x14">
            <control shapeId="5125" r:id="rId7" name="Check Box 5">
              <controlPr defaultSize="0" autoFill="0" autoLine="0" autoPict="0">
                <anchor moveWithCells="1">
                  <from>
                    <xdr:col>1</xdr:col>
                    <xdr:colOff>352425</xdr:colOff>
                    <xdr:row>38</xdr:row>
                    <xdr:rowOff>133350</xdr:rowOff>
                  </from>
                  <to>
                    <xdr:col>1</xdr:col>
                    <xdr:colOff>1133475</xdr:colOff>
                    <xdr:row>39</xdr:row>
                    <xdr:rowOff>142875</xdr:rowOff>
                  </to>
                </anchor>
              </controlPr>
            </control>
          </mc:Choice>
        </mc:AlternateContent>
        <mc:AlternateContent xmlns:mc="http://schemas.openxmlformats.org/markup-compatibility/2006">
          <mc:Choice Requires="x14">
            <control shapeId="5126" r:id="rId8" name="Group Box 6">
              <controlPr defaultSize="0" autoFill="0" autoPict="0">
                <anchor moveWithCells="1">
                  <from>
                    <xdr:col>3</xdr:col>
                    <xdr:colOff>1066800</xdr:colOff>
                    <xdr:row>36</xdr:row>
                    <xdr:rowOff>0</xdr:rowOff>
                  </from>
                  <to>
                    <xdr:col>7</xdr:col>
                    <xdr:colOff>57150</xdr:colOff>
                    <xdr:row>40</xdr:row>
                    <xdr:rowOff>28575</xdr:rowOff>
                  </to>
                </anchor>
              </controlPr>
            </control>
          </mc:Choice>
        </mc:AlternateContent>
        <mc:AlternateContent xmlns:mc="http://schemas.openxmlformats.org/markup-compatibility/2006">
          <mc:Choice Requires="x14">
            <control shapeId="5127" r:id="rId9" name="Check Box 7">
              <controlPr defaultSize="0" autoFill="0" autoLine="0" autoPict="0">
                <anchor moveWithCells="1">
                  <from>
                    <xdr:col>4</xdr:col>
                    <xdr:colOff>142875</xdr:colOff>
                    <xdr:row>36</xdr:row>
                    <xdr:rowOff>104775</xdr:rowOff>
                  </from>
                  <to>
                    <xdr:col>5</xdr:col>
                    <xdr:colOff>238125</xdr:colOff>
                    <xdr:row>37</xdr:row>
                    <xdr:rowOff>114300</xdr:rowOff>
                  </to>
                </anchor>
              </controlPr>
            </control>
          </mc:Choice>
        </mc:AlternateContent>
        <mc:AlternateContent xmlns:mc="http://schemas.openxmlformats.org/markup-compatibility/2006">
          <mc:Choice Requires="x14">
            <control shapeId="5128" r:id="rId10" name="Check Box 8">
              <controlPr defaultSize="0" autoFill="0" autoLine="0" autoPict="0">
                <anchor moveWithCells="1">
                  <from>
                    <xdr:col>4</xdr:col>
                    <xdr:colOff>142875</xdr:colOff>
                    <xdr:row>37</xdr:row>
                    <xdr:rowOff>142875</xdr:rowOff>
                  </from>
                  <to>
                    <xdr:col>5</xdr:col>
                    <xdr:colOff>238125</xdr:colOff>
                    <xdr:row>38</xdr:row>
                    <xdr:rowOff>152400</xdr:rowOff>
                  </to>
                </anchor>
              </controlPr>
            </control>
          </mc:Choice>
        </mc:AlternateContent>
        <mc:AlternateContent xmlns:mc="http://schemas.openxmlformats.org/markup-compatibility/2006">
          <mc:Choice Requires="x14">
            <control shapeId="5129" r:id="rId11" name="Check Box 9">
              <controlPr defaultSize="0" autoFill="0" autoLine="0" autoPict="0">
                <anchor moveWithCells="1">
                  <from>
                    <xdr:col>4</xdr:col>
                    <xdr:colOff>142875</xdr:colOff>
                    <xdr:row>38</xdr:row>
                    <xdr:rowOff>180975</xdr:rowOff>
                  </from>
                  <to>
                    <xdr:col>5</xdr:col>
                    <xdr:colOff>238125</xdr:colOff>
                    <xdr:row>39</xdr:row>
                    <xdr:rowOff>190500</xdr:rowOff>
                  </to>
                </anchor>
              </controlPr>
            </control>
          </mc:Choice>
        </mc:AlternateContent>
        <mc:AlternateContent xmlns:mc="http://schemas.openxmlformats.org/markup-compatibility/2006">
          <mc:Choice Requires="x14">
            <control shapeId="5130" r:id="rId12" name="Group Box 10">
              <controlPr defaultSize="0" autoFill="0" autoPict="0">
                <anchor moveWithCells="1">
                  <from>
                    <xdr:col>7</xdr:col>
                    <xdr:colOff>409575</xdr:colOff>
                    <xdr:row>35</xdr:row>
                    <xdr:rowOff>190500</xdr:rowOff>
                  </from>
                  <to>
                    <xdr:col>10</xdr:col>
                    <xdr:colOff>9525</xdr:colOff>
                    <xdr:row>40</xdr:row>
                    <xdr:rowOff>152400</xdr:rowOff>
                  </to>
                </anchor>
              </controlPr>
            </control>
          </mc:Choice>
        </mc:AlternateContent>
        <mc:AlternateContent xmlns:mc="http://schemas.openxmlformats.org/markup-compatibility/2006">
          <mc:Choice Requires="x14">
            <control shapeId="5131" r:id="rId13" name="Check Box 11">
              <controlPr defaultSize="0" autoFill="0" autoLine="0" autoPict="0">
                <anchor moveWithCells="1">
                  <from>
                    <xdr:col>8</xdr:col>
                    <xdr:colOff>238125</xdr:colOff>
                    <xdr:row>35</xdr:row>
                    <xdr:rowOff>304800</xdr:rowOff>
                  </from>
                  <to>
                    <xdr:col>9</xdr:col>
                    <xdr:colOff>285750</xdr:colOff>
                    <xdr:row>36</xdr:row>
                    <xdr:rowOff>133350</xdr:rowOff>
                  </to>
                </anchor>
              </controlPr>
            </control>
          </mc:Choice>
        </mc:AlternateContent>
        <mc:AlternateContent xmlns:mc="http://schemas.openxmlformats.org/markup-compatibility/2006">
          <mc:Choice Requires="x14">
            <control shapeId="5132" r:id="rId14" name="Check Box 12">
              <controlPr defaultSize="0" autoFill="0" autoLine="0" autoPict="0">
                <anchor moveWithCells="1">
                  <from>
                    <xdr:col>8</xdr:col>
                    <xdr:colOff>238125</xdr:colOff>
                    <xdr:row>36</xdr:row>
                    <xdr:rowOff>133350</xdr:rowOff>
                  </from>
                  <to>
                    <xdr:col>9</xdr:col>
                    <xdr:colOff>285750</xdr:colOff>
                    <xdr:row>37</xdr:row>
                    <xdr:rowOff>152400</xdr:rowOff>
                  </to>
                </anchor>
              </controlPr>
            </control>
          </mc:Choice>
        </mc:AlternateContent>
        <mc:AlternateContent xmlns:mc="http://schemas.openxmlformats.org/markup-compatibility/2006">
          <mc:Choice Requires="x14">
            <control shapeId="5133" r:id="rId15" name="Check Box 13">
              <controlPr defaultSize="0" autoFill="0" autoLine="0" autoPict="0">
                <anchor moveWithCells="1">
                  <from>
                    <xdr:col>8</xdr:col>
                    <xdr:colOff>238125</xdr:colOff>
                    <xdr:row>37</xdr:row>
                    <xdr:rowOff>152400</xdr:rowOff>
                  </from>
                  <to>
                    <xdr:col>9</xdr:col>
                    <xdr:colOff>714375</xdr:colOff>
                    <xdr:row>38</xdr:row>
                    <xdr:rowOff>171450</xdr:rowOff>
                  </to>
                </anchor>
              </controlPr>
            </control>
          </mc:Choice>
        </mc:AlternateContent>
        <mc:AlternateContent xmlns:mc="http://schemas.openxmlformats.org/markup-compatibility/2006">
          <mc:Choice Requires="x14">
            <control shapeId="5134" r:id="rId16" name="Check Box 14">
              <controlPr defaultSize="0" autoFill="0" autoLine="0" autoPict="0">
                <anchor moveWithCells="1">
                  <from>
                    <xdr:col>8</xdr:col>
                    <xdr:colOff>247650</xdr:colOff>
                    <xdr:row>38</xdr:row>
                    <xdr:rowOff>171450</xdr:rowOff>
                  </from>
                  <to>
                    <xdr:col>9</xdr:col>
                    <xdr:colOff>295275</xdr:colOff>
                    <xdr:row>39</xdr:row>
                    <xdr:rowOff>190500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39997558519241921"/>
  </sheetPr>
  <dimension ref="A1:AG218"/>
  <sheetViews>
    <sheetView showGridLines="0" showRuler="0" topLeftCell="A10" zoomScale="90" zoomScaleNormal="90" zoomScaleSheetLayoutView="100" zoomScalePageLayoutView="80" workbookViewId="0">
      <selection activeCell="M118" sqref="M118"/>
    </sheetView>
  </sheetViews>
  <sheetFormatPr defaultRowHeight="12.75"/>
  <cols>
    <col min="1" max="1" width="3.28515625" style="3" customWidth="1"/>
    <col min="2" max="2" width="6.85546875" style="1" customWidth="1"/>
    <col min="3" max="3" width="24" style="1" customWidth="1"/>
    <col min="4" max="4" width="16.85546875" style="1" customWidth="1"/>
    <col min="5" max="5" width="28.28515625" style="1" customWidth="1"/>
    <col min="6" max="6" width="13.28515625" style="1" customWidth="1"/>
    <col min="7" max="7" width="10.7109375" style="1" customWidth="1"/>
    <col min="8" max="9" width="9.42578125" style="1" customWidth="1"/>
    <col min="10" max="10" width="2.7109375" style="1" customWidth="1"/>
    <col min="11" max="11" width="9.7109375" style="1" customWidth="1"/>
    <col min="12" max="12" width="11.140625" style="1" customWidth="1"/>
    <col min="13" max="13" width="9.7109375" style="1" customWidth="1"/>
    <col min="14" max="14" width="8" style="1" customWidth="1"/>
    <col min="15" max="15" width="12.42578125" style="1" customWidth="1"/>
    <col min="16" max="16" width="17.42578125" style="1" customWidth="1"/>
    <col min="17" max="17" width="11.140625" style="1" customWidth="1"/>
    <col min="18" max="18" width="9.7109375" style="1" customWidth="1"/>
    <col min="19" max="20" width="10.140625" style="1" customWidth="1"/>
    <col min="21" max="21" width="12.140625" style="1" bestFit="1" customWidth="1"/>
    <col min="22" max="22" width="10.5703125" style="1" bestFit="1" customWidth="1"/>
    <col min="23" max="23" width="10.7109375" style="1" customWidth="1"/>
    <col min="24" max="25" width="12.85546875" style="1" bestFit="1" customWidth="1"/>
    <col min="26" max="16384" width="9.140625" style="1"/>
  </cols>
  <sheetData>
    <row r="1" spans="1:31" ht="13.5" customHeight="1">
      <c r="A1" s="783" t="s">
        <v>590</v>
      </c>
      <c r="B1" s="784"/>
      <c r="C1" s="784"/>
      <c r="D1" s="784"/>
      <c r="E1" s="784"/>
      <c r="F1" s="588" t="s">
        <v>422</v>
      </c>
      <c r="G1" s="779">
        <f>'Site Evaluation'!J1</f>
        <v>2345</v>
      </c>
      <c r="H1" s="779"/>
      <c r="I1" s="779"/>
      <c r="J1" s="780"/>
      <c r="K1" s="53"/>
      <c r="L1" s="53"/>
      <c r="M1" s="53"/>
      <c r="N1" s="53"/>
      <c r="O1" s="53"/>
      <c r="P1" s="53"/>
      <c r="Q1" s="53"/>
      <c r="R1" s="53"/>
      <c r="S1" s="53"/>
      <c r="T1" s="53"/>
      <c r="U1" s="53"/>
      <c r="V1" s="53"/>
      <c r="W1" s="53"/>
      <c r="X1" s="53"/>
      <c r="Y1" s="53"/>
      <c r="Z1" s="53"/>
      <c r="AA1" s="53"/>
      <c r="AB1" s="53"/>
      <c r="AC1" s="53"/>
      <c r="AD1" s="53"/>
      <c r="AE1" s="53"/>
    </row>
    <row r="2" spans="1:31" s="8" customFormat="1" ht="13.5" customHeight="1">
      <c r="A2" s="785"/>
      <c r="B2" s="786"/>
      <c r="C2" s="786"/>
      <c r="D2" s="786"/>
      <c r="E2" s="786"/>
      <c r="F2" s="587" t="s">
        <v>803</v>
      </c>
      <c r="G2" s="751" t="str">
        <f>IF(ISBLANK('Site Evaluation'!B6),"",'Site Evaluation'!B6)</f>
        <v/>
      </c>
      <c r="H2" s="751"/>
      <c r="I2" s="751"/>
      <c r="J2" s="752"/>
      <c r="K2" s="58"/>
      <c r="L2" s="58"/>
      <c r="M2" s="58"/>
      <c r="N2" s="58"/>
      <c r="O2" s="58"/>
      <c r="P2" s="58"/>
      <c r="Q2" s="58"/>
      <c r="R2" s="58"/>
      <c r="S2" s="58"/>
      <c r="T2" s="58"/>
      <c r="U2" s="58"/>
      <c r="V2" s="58"/>
      <c r="W2" s="58"/>
      <c r="X2" s="58"/>
      <c r="Y2" s="58"/>
      <c r="Z2" s="58"/>
      <c r="AA2" s="58"/>
      <c r="AB2" s="58"/>
      <c r="AC2" s="58"/>
      <c r="AD2" s="58"/>
      <c r="AE2" s="58"/>
    </row>
    <row r="3" spans="1:31" s="7" customFormat="1" ht="10.5" customHeight="1">
      <c r="A3" s="261"/>
      <c r="B3" s="262"/>
      <c r="C3" s="262"/>
      <c r="D3" s="262"/>
      <c r="E3" s="263"/>
      <c r="F3" s="264"/>
      <c r="G3" s="264"/>
      <c r="H3" s="264"/>
      <c r="I3" s="264"/>
      <c r="J3" s="14"/>
      <c r="K3" s="58"/>
      <c r="L3" s="58"/>
      <c r="M3" s="58"/>
      <c r="N3" s="58"/>
      <c r="O3" s="58"/>
      <c r="P3" s="58"/>
      <c r="Q3" s="58"/>
      <c r="R3" s="58"/>
      <c r="S3" s="58"/>
      <c r="T3" s="58"/>
      <c r="U3" s="58"/>
      <c r="V3" s="58"/>
      <c r="W3" s="58"/>
      <c r="X3" s="58"/>
      <c r="Y3" s="58"/>
      <c r="Z3" s="58"/>
      <c r="AA3" s="58"/>
      <c r="AB3" s="58"/>
      <c r="AC3" s="58"/>
      <c r="AD3" s="58"/>
      <c r="AE3" s="58"/>
    </row>
    <row r="4" spans="1:31" ht="15.75" customHeight="1">
      <c r="A4" s="349" t="s">
        <v>139</v>
      </c>
      <c r="B4" s="350" t="s">
        <v>138</v>
      </c>
      <c r="C4" s="350"/>
      <c r="D4" s="350"/>
      <c r="E4" s="350"/>
      <c r="F4" s="350"/>
      <c r="G4" s="350"/>
      <c r="H4" s="350"/>
      <c r="I4" s="350"/>
      <c r="J4" s="355"/>
      <c r="K4" s="53"/>
      <c r="L4" s="53"/>
      <c r="M4" s="53"/>
      <c r="N4" s="53"/>
      <c r="O4" s="53"/>
      <c r="P4" s="53"/>
      <c r="Q4" s="53"/>
      <c r="R4" s="53"/>
      <c r="S4" s="53"/>
      <c r="T4" s="53"/>
      <c r="U4" s="53"/>
      <c r="V4" s="53"/>
      <c r="W4" s="53"/>
      <c r="X4" s="53"/>
      <c r="Y4" s="53"/>
      <c r="Z4" s="53"/>
      <c r="AA4" s="53"/>
      <c r="AB4" s="53"/>
      <c r="AC4" s="53"/>
      <c r="AD4" s="53"/>
      <c r="AE4" s="53"/>
    </row>
    <row r="5" spans="1:31" ht="15.75">
      <c r="A5" s="301"/>
      <c r="B5" s="300"/>
      <c r="C5" s="300"/>
      <c r="D5" s="300"/>
      <c r="E5" s="300"/>
      <c r="F5" s="300"/>
      <c r="G5" s="300"/>
      <c r="H5" s="298"/>
      <c r="I5" s="298"/>
      <c r="J5" s="242"/>
      <c r="K5" s="53"/>
      <c r="L5" s="53"/>
      <c r="M5" s="53"/>
      <c r="N5" s="53"/>
      <c r="O5" s="53"/>
      <c r="P5" s="53"/>
      <c r="Q5" s="53"/>
      <c r="R5" s="53"/>
      <c r="S5" s="53"/>
      <c r="T5" s="53"/>
      <c r="V5" s="53"/>
      <c r="W5" s="53"/>
      <c r="X5" s="53"/>
      <c r="Y5" s="53"/>
      <c r="Z5" s="53"/>
      <c r="AA5" s="53"/>
      <c r="AB5" s="53"/>
      <c r="AC5" s="53"/>
      <c r="AD5" s="53"/>
      <c r="AE5" s="53"/>
    </row>
    <row r="6" spans="1:31" ht="15.75" thickBot="1">
      <c r="A6" s="302"/>
      <c r="B6" s="242"/>
      <c r="C6" s="244" t="s">
        <v>137</v>
      </c>
      <c r="D6" s="306">
        <f>IF(ISBLANK('Site Evaluation'!E26),"",'Site Evaluation'!E26)</f>
        <v>450</v>
      </c>
      <c r="E6" s="244" t="s">
        <v>459</v>
      </c>
      <c r="F6" s="244"/>
      <c r="G6" s="244"/>
      <c r="H6" s="244"/>
      <c r="I6" s="242"/>
      <c r="J6" s="242"/>
      <c r="K6" s="53"/>
      <c r="L6" s="53"/>
      <c r="M6" s="53"/>
      <c r="N6" s="53"/>
      <c r="O6" s="53"/>
      <c r="P6" s="53"/>
      <c r="Q6" s="53"/>
      <c r="R6" s="53"/>
      <c r="S6" s="53"/>
      <c r="T6" s="53"/>
      <c r="V6" s="53"/>
      <c r="W6" s="53"/>
      <c r="X6" s="53"/>
      <c r="Y6" s="53"/>
      <c r="Z6" s="53"/>
      <c r="AA6" s="53"/>
      <c r="AB6" s="53"/>
      <c r="AC6" s="53"/>
      <c r="AD6" s="53"/>
      <c r="AE6" s="53"/>
    </row>
    <row r="7" spans="1:31" ht="15.75" thickBot="1">
      <c r="A7" s="302"/>
      <c r="B7" s="242"/>
      <c r="C7" s="244" t="s">
        <v>136</v>
      </c>
      <c r="D7" s="247"/>
      <c r="E7" s="244" t="s">
        <v>135</v>
      </c>
      <c r="F7" s="391" t="str">
        <f>IF(ISBLANK(D7),"",D7*1.5)</f>
        <v/>
      </c>
      <c r="G7" s="244" t="s">
        <v>134</v>
      </c>
      <c r="H7" s="242"/>
      <c r="I7" s="242"/>
      <c r="J7" s="242"/>
      <c r="K7" s="53"/>
      <c r="L7" s="53"/>
      <c r="M7" s="53"/>
      <c r="N7" s="53"/>
      <c r="O7" s="53"/>
      <c r="P7" s="53"/>
      <c r="Q7" s="53"/>
      <c r="R7" s="53"/>
      <c r="S7" s="53"/>
      <c r="T7" s="53"/>
      <c r="V7" s="53"/>
      <c r="W7" s="53"/>
      <c r="X7" s="53"/>
      <c r="Y7" s="53"/>
      <c r="Z7" s="53"/>
      <c r="AA7" s="53"/>
      <c r="AB7" s="53"/>
      <c r="AC7" s="53"/>
      <c r="AD7" s="53"/>
      <c r="AE7" s="53"/>
    </row>
    <row r="8" spans="1:31" s="7" customFormat="1" ht="15.75">
      <c r="A8" s="302"/>
      <c r="B8" s="244"/>
      <c r="C8" s="434"/>
      <c r="D8" s="245"/>
      <c r="E8" s="434"/>
      <c r="F8" s="245"/>
      <c r="G8" s="314"/>
      <c r="H8" s="242"/>
      <c r="I8" s="242"/>
      <c r="J8" s="298"/>
      <c r="K8" s="53"/>
      <c r="L8" s="53"/>
      <c r="M8" s="1"/>
      <c r="N8" s="1"/>
      <c r="O8" s="1"/>
      <c r="P8" s="1"/>
      <c r="Q8" s="1"/>
      <c r="R8" s="53"/>
      <c r="S8" s="53"/>
      <c r="T8" s="53"/>
      <c r="U8" s="53"/>
      <c r="V8" s="1"/>
      <c r="W8" s="1"/>
      <c r="X8" s="53"/>
      <c r="Y8" s="53"/>
      <c r="Z8" s="58"/>
      <c r="AA8" s="58"/>
      <c r="AB8" s="58"/>
      <c r="AC8" s="58"/>
      <c r="AD8" s="58"/>
      <c r="AE8" s="58"/>
    </row>
    <row r="9" spans="1:31" ht="15.75" customHeight="1">
      <c r="A9" s="349" t="s">
        <v>133</v>
      </c>
      <c r="B9" s="350" t="s">
        <v>132</v>
      </c>
      <c r="C9" s="350"/>
      <c r="D9" s="350"/>
      <c r="E9" s="353"/>
      <c r="F9" s="353"/>
      <c r="G9" s="350"/>
      <c r="H9" s="350"/>
      <c r="I9" s="350"/>
      <c r="J9" s="355"/>
      <c r="K9" s="53"/>
      <c r="L9" s="53"/>
      <c r="R9" s="53"/>
      <c r="S9" s="53"/>
      <c r="T9" s="53"/>
      <c r="U9" s="53"/>
      <c r="X9" s="53"/>
      <c r="Y9" s="53"/>
      <c r="Z9" s="53"/>
      <c r="AA9" s="53"/>
      <c r="AB9" s="53"/>
      <c r="AC9" s="53"/>
      <c r="AD9" s="53"/>
      <c r="AE9" s="53"/>
    </row>
    <row r="10" spans="1:31" ht="15">
      <c r="A10" s="299"/>
      <c r="B10" s="242"/>
      <c r="C10" s="242"/>
      <c r="D10" s="242"/>
      <c r="E10" s="242"/>
      <c r="F10" s="242"/>
      <c r="G10" s="242"/>
      <c r="H10" s="242"/>
      <c r="I10" s="242"/>
      <c r="J10" s="242"/>
      <c r="K10" s="53"/>
      <c r="X10" s="53"/>
      <c r="Y10" s="53"/>
      <c r="Z10" s="53"/>
      <c r="AA10" s="53"/>
      <c r="AB10" s="53"/>
      <c r="AC10" s="53"/>
      <c r="AD10" s="53"/>
      <c r="AE10" s="53"/>
    </row>
    <row r="11" spans="1:31" ht="15.75">
      <c r="A11" s="35"/>
      <c r="B11" s="18"/>
      <c r="C11" s="18"/>
      <c r="D11" s="18"/>
      <c r="E11" s="300"/>
      <c r="F11" s="300"/>
      <c r="G11" s="242"/>
      <c r="H11" s="242"/>
      <c r="I11" s="242"/>
      <c r="J11" s="242"/>
      <c r="K11" s="53"/>
      <c r="X11" s="53"/>
      <c r="Y11" s="53"/>
      <c r="Z11" s="53"/>
      <c r="AA11" s="53"/>
      <c r="AB11" s="53"/>
      <c r="AC11" s="53"/>
      <c r="AD11" s="53"/>
      <c r="AE11" s="53"/>
    </row>
    <row r="12" spans="1:31" ht="14.25" customHeight="1">
      <c r="A12" s="301"/>
      <c r="B12" s="300"/>
      <c r="C12" s="300"/>
      <c r="D12" s="300"/>
      <c r="E12" s="300"/>
      <c r="F12" s="300"/>
      <c r="G12" s="242"/>
      <c r="H12" s="242"/>
      <c r="I12" s="242"/>
      <c r="J12" s="242"/>
      <c r="K12" s="53"/>
      <c r="L12" s="53"/>
      <c r="M12" s="53"/>
      <c r="N12" s="73"/>
      <c r="O12" s="61" t="s">
        <v>109</v>
      </c>
      <c r="P12" s="53"/>
      <c r="Q12" s="88" t="s">
        <v>159</v>
      </c>
      <c r="R12" s="53"/>
      <c r="S12" s="53"/>
      <c r="T12" s="53"/>
      <c r="U12" s="53"/>
      <c r="V12" s="53"/>
      <c r="X12" s="53"/>
      <c r="Y12" s="53"/>
      <c r="Z12" s="53"/>
      <c r="AA12" s="53"/>
      <c r="AB12" s="53"/>
      <c r="AC12" s="53"/>
      <c r="AD12" s="53"/>
      <c r="AE12" s="53"/>
    </row>
    <row r="13" spans="1:31" ht="15.75" customHeight="1">
      <c r="A13" s="781" t="s">
        <v>131</v>
      </c>
      <c r="B13" s="781"/>
      <c r="C13" s="782"/>
      <c r="D13" s="306">
        <f>IF(ISBLANK('Site Evaluation'!E74),"",'Site Evaluation'!E74)</f>
        <v>1500</v>
      </c>
      <c r="E13" s="244" t="s">
        <v>541</v>
      </c>
      <c r="F13" s="244"/>
      <c r="G13" s="242"/>
      <c r="H13" s="242"/>
      <c r="I13" s="242"/>
      <c r="J13" s="242"/>
      <c r="K13" s="53"/>
      <c r="L13" s="53"/>
      <c r="M13" s="53"/>
      <c r="N13" s="53"/>
      <c r="O13" s="53"/>
      <c r="P13" s="53"/>
      <c r="Q13" s="53"/>
      <c r="R13" s="53"/>
      <c r="S13" s="53"/>
      <c r="T13" s="53"/>
      <c r="U13" s="53"/>
      <c r="V13" s="53"/>
      <c r="X13" s="53"/>
      <c r="Y13" s="53"/>
      <c r="Z13" s="53"/>
      <c r="AA13" s="53"/>
      <c r="AB13" s="53"/>
      <c r="AC13" s="53"/>
      <c r="AD13" s="53"/>
      <c r="AE13" s="53"/>
    </row>
    <row r="14" spans="1:31" s="7" customFormat="1" ht="13.5" customHeight="1">
      <c r="A14" s="781" t="s">
        <v>162</v>
      </c>
      <c r="B14" s="781"/>
      <c r="C14" s="782"/>
      <c r="D14" s="306">
        <f>IF(ISBLANK('Site Evaluation'!J74),"",'Site Evaluation'!J74)</f>
        <v>1</v>
      </c>
      <c r="E14" s="244"/>
      <c r="F14" s="244"/>
      <c r="G14" s="242"/>
      <c r="H14" s="242"/>
      <c r="I14" s="242"/>
      <c r="J14" s="242"/>
      <c r="K14" s="53"/>
      <c r="L14" s="53"/>
      <c r="M14" s="53"/>
      <c r="N14" s="53"/>
      <c r="O14" s="53"/>
      <c r="P14" s="53"/>
      <c r="Q14" s="53"/>
      <c r="R14" s="53"/>
      <c r="S14" s="53"/>
      <c r="T14" s="53"/>
      <c r="U14" s="53"/>
      <c r="V14" s="58"/>
      <c r="X14" s="58"/>
      <c r="Y14" s="58"/>
      <c r="Z14" s="58"/>
      <c r="AA14" s="58"/>
      <c r="AB14" s="58"/>
      <c r="AC14" s="58"/>
      <c r="AD14" s="58"/>
      <c r="AE14" s="58"/>
    </row>
    <row r="15" spans="1:31" s="7" customFormat="1" ht="13.5" customHeight="1">
      <c r="A15" s="302"/>
      <c r="B15" s="298"/>
      <c r="C15" s="298"/>
      <c r="D15" s="298"/>
      <c r="E15" s="242"/>
      <c r="F15" s="298"/>
      <c r="G15" s="298"/>
      <c r="H15" s="298"/>
      <c r="I15" s="298"/>
      <c r="J15" s="298"/>
      <c r="K15" s="53"/>
      <c r="L15" s="53"/>
      <c r="M15" s="53"/>
      <c r="N15" s="53"/>
      <c r="O15" s="53"/>
      <c r="P15" s="53"/>
      <c r="Q15" s="53"/>
      <c r="R15" s="53"/>
      <c r="S15" s="58" t="s">
        <v>106</v>
      </c>
      <c r="T15" s="53"/>
      <c r="U15" s="53"/>
      <c r="V15" s="53"/>
      <c r="X15" s="58"/>
      <c r="Y15" s="58"/>
      <c r="Z15" s="58"/>
      <c r="AA15" s="58"/>
      <c r="AB15" s="58"/>
      <c r="AC15" s="58"/>
      <c r="AD15" s="58"/>
      <c r="AE15" s="58"/>
    </row>
    <row r="16" spans="1:31" s="7" customFormat="1" ht="15.75" customHeight="1">
      <c r="A16" s="349" t="s">
        <v>130</v>
      </c>
      <c r="B16" s="350" t="s">
        <v>591</v>
      </c>
      <c r="C16" s="350"/>
      <c r="D16" s="353"/>
      <c r="E16" s="353"/>
      <c r="F16" s="353"/>
      <c r="G16" s="350"/>
      <c r="H16" s="350"/>
      <c r="I16" s="350"/>
      <c r="J16" s="355"/>
      <c r="K16" s="59"/>
      <c r="L16" s="53"/>
      <c r="M16" s="53"/>
      <c r="N16" s="53"/>
      <c r="O16" s="62">
        <f>F64</f>
        <v>1</v>
      </c>
      <c r="P16" s="75"/>
      <c r="Q16" s="63"/>
      <c r="R16" s="53"/>
      <c r="S16" s="53"/>
      <c r="T16" s="88"/>
      <c r="U16" s="53"/>
      <c r="V16" s="53"/>
      <c r="X16" s="58"/>
      <c r="Y16" s="58"/>
      <c r="Z16" s="58"/>
      <c r="AA16" s="58"/>
      <c r="AB16" s="58"/>
      <c r="AC16" s="58"/>
      <c r="AD16" s="58"/>
      <c r="AE16" s="58"/>
    </row>
    <row r="17" spans="1:33" s="7" customFormat="1" ht="13.5" customHeight="1">
      <c r="A17" s="301"/>
      <c r="B17" s="298"/>
      <c r="C17" s="298"/>
      <c r="D17" s="298"/>
      <c r="E17" s="298"/>
      <c r="F17" s="298"/>
      <c r="G17" s="300"/>
      <c r="H17" s="298"/>
      <c r="I17" s="298"/>
      <c r="J17" s="298"/>
      <c r="K17" s="57"/>
      <c r="L17" s="53"/>
      <c r="M17" s="53"/>
      <c r="N17" s="53"/>
      <c r="O17" s="62"/>
      <c r="P17" s="61"/>
      <c r="Q17" s="66"/>
      <c r="R17" s="53"/>
      <c r="S17" s="53"/>
      <c r="T17" s="53"/>
      <c r="U17" s="53"/>
      <c r="V17" s="53"/>
      <c r="X17" s="58"/>
      <c r="Y17" s="58"/>
      <c r="Z17" s="58"/>
      <c r="AA17" s="58"/>
      <c r="AB17" s="58"/>
      <c r="AC17" s="58"/>
      <c r="AD17" s="58"/>
      <c r="AE17" s="58"/>
    </row>
    <row r="18" spans="1:33" s="7" customFormat="1" ht="15.75">
      <c r="A18" s="36"/>
      <c r="B18" s="36"/>
      <c r="C18" s="36"/>
      <c r="D18" s="300"/>
      <c r="E18" s="300"/>
      <c r="F18" s="300"/>
      <c r="G18" s="300"/>
      <c r="H18" s="298"/>
      <c r="I18" s="298"/>
      <c r="J18" s="298"/>
      <c r="K18" s="57"/>
      <c r="L18" s="53"/>
      <c r="M18" s="53"/>
      <c r="N18" s="61" t="s">
        <v>156</v>
      </c>
      <c r="O18" s="53"/>
      <c r="P18" s="53"/>
      <c r="Q18" s="53"/>
      <c r="R18" s="53"/>
      <c r="S18" s="53"/>
      <c r="T18" s="53"/>
      <c r="U18" s="53"/>
      <c r="V18" s="53"/>
      <c r="X18" s="58"/>
      <c r="Y18" s="58"/>
      <c r="Z18" s="58"/>
      <c r="AA18" s="58"/>
      <c r="AB18" s="58"/>
      <c r="AC18" s="58"/>
      <c r="AD18" s="58"/>
      <c r="AE18" s="58"/>
    </row>
    <row r="19" spans="1:33" ht="13.5" customHeight="1">
      <c r="A19" s="299"/>
      <c r="B19" s="242"/>
      <c r="C19" s="242"/>
      <c r="D19" s="242"/>
      <c r="E19" s="242"/>
      <c r="F19" s="242"/>
      <c r="G19" s="300"/>
      <c r="H19" s="298"/>
      <c r="I19" s="298"/>
      <c r="J19" s="242"/>
      <c r="K19" s="57"/>
      <c r="L19" s="53"/>
      <c r="M19" s="53"/>
      <c r="N19" s="53"/>
      <c r="O19" s="62">
        <f>D64</f>
        <v>4</v>
      </c>
      <c r="P19" s="53"/>
      <c r="Q19" s="53"/>
      <c r="R19" s="53"/>
      <c r="S19" s="53"/>
      <c r="T19" s="53"/>
      <c r="U19" s="53"/>
      <c r="V19" s="53"/>
      <c r="X19" s="53"/>
      <c r="Y19" s="53"/>
      <c r="Z19" s="53"/>
      <c r="AA19" s="53"/>
      <c r="AB19" s="53"/>
      <c r="AC19" s="53"/>
      <c r="AD19" s="53"/>
      <c r="AE19" s="53"/>
    </row>
    <row r="20" spans="1:33" ht="16.5" customHeight="1">
      <c r="A20" s="308" t="s">
        <v>57</v>
      </c>
      <c r="B20" s="781" t="s">
        <v>129</v>
      </c>
      <c r="C20" s="781"/>
      <c r="D20" s="782"/>
      <c r="E20" s="309">
        <f>IF(ISBLANK('Site Evaluation'!H59),"",'Site Evaluation'!H59)</f>
        <v>4</v>
      </c>
      <c r="F20" s="244" t="s">
        <v>128</v>
      </c>
      <c r="G20" s="244"/>
      <c r="H20" s="242"/>
      <c r="I20" s="242"/>
      <c r="J20" s="242"/>
      <c r="K20" s="57"/>
      <c r="L20" s="53"/>
      <c r="M20" s="53"/>
      <c r="N20" s="61" t="s">
        <v>103</v>
      </c>
      <c r="O20" s="53"/>
      <c r="P20" s="53"/>
      <c r="Q20" s="53"/>
      <c r="R20" s="53"/>
      <c r="S20" s="53"/>
      <c r="T20" s="53"/>
      <c r="U20" s="53"/>
      <c r="V20" s="53"/>
      <c r="X20" s="53"/>
      <c r="Y20" s="53"/>
      <c r="Z20" s="53"/>
      <c r="AA20" s="53"/>
      <c r="AB20" s="53"/>
      <c r="AC20" s="53"/>
      <c r="AD20" s="53"/>
      <c r="AE20" s="53"/>
    </row>
    <row r="21" spans="1:33" ht="16.5" customHeight="1">
      <c r="A21" s="308" t="s">
        <v>64</v>
      </c>
      <c r="B21" s="781" t="s">
        <v>127</v>
      </c>
      <c r="C21" s="781"/>
      <c r="D21" s="782"/>
      <c r="E21" s="435" t="str">
        <f>IF(DropDownList!N2=1,PercTest!H14,"NA")</f>
        <v>NA</v>
      </c>
      <c r="F21" s="314" t="s">
        <v>29</v>
      </c>
      <c r="G21" s="244"/>
      <c r="H21" s="242"/>
      <c r="I21" s="242"/>
      <c r="J21" s="242"/>
      <c r="K21" s="57"/>
      <c r="L21" s="53"/>
      <c r="M21" s="61" t="s">
        <v>154</v>
      </c>
      <c r="N21" s="62">
        <f>G99</f>
        <v>12</v>
      </c>
      <c r="O21" s="53"/>
      <c r="P21" s="64">
        <f>G38</f>
        <v>10</v>
      </c>
      <c r="Q21" s="53"/>
      <c r="R21" s="61" t="s">
        <v>154</v>
      </c>
      <c r="S21" s="62">
        <f>G99</f>
        <v>12</v>
      </c>
      <c r="T21" s="53"/>
      <c r="U21" s="53"/>
      <c r="V21" s="53"/>
      <c r="X21" s="53"/>
      <c r="Y21" s="53"/>
      <c r="Z21" s="53"/>
      <c r="AA21" s="53"/>
      <c r="AB21" s="53"/>
      <c r="AC21" s="53"/>
      <c r="AD21" s="53"/>
      <c r="AE21" s="53"/>
    </row>
    <row r="22" spans="1:33" ht="16.5" customHeight="1">
      <c r="A22" s="308" t="s">
        <v>63</v>
      </c>
      <c r="B22" s="781" t="s">
        <v>126</v>
      </c>
      <c r="C22" s="781"/>
      <c r="D22" s="782"/>
      <c r="E22" s="306" t="str">
        <f>IF(ISBLANK('Site Evaluation'!C47),"",'Site Evaluation'!C47)</f>
        <v>Clay Loam</v>
      </c>
      <c r="F22" s="244"/>
      <c r="G22" s="244"/>
      <c r="H22" s="242"/>
      <c r="I22" s="242"/>
      <c r="J22" s="242"/>
      <c r="K22" s="57"/>
      <c r="L22" s="53"/>
      <c r="M22" s="53"/>
      <c r="N22" s="53"/>
      <c r="O22" s="53"/>
      <c r="P22" s="61" t="s">
        <v>153</v>
      </c>
      <c r="Q22" s="62">
        <f>D57</f>
        <v>27</v>
      </c>
      <c r="R22" s="53"/>
      <c r="S22" s="53"/>
      <c r="T22" s="53"/>
      <c r="U22" s="53"/>
      <c r="V22" s="53"/>
      <c r="X22" s="53"/>
      <c r="Y22" s="53"/>
      <c r="AE22" s="53"/>
    </row>
    <row r="23" spans="1:33" ht="16.5" customHeight="1">
      <c r="A23" s="308" t="s">
        <v>37</v>
      </c>
      <c r="B23" s="781" t="s">
        <v>654</v>
      </c>
      <c r="C23" s="781"/>
      <c r="D23" s="782"/>
      <c r="E23" s="436">
        <f>IF(ISBLANK('Site Evaluation'!J71),"",'Site Evaluation'!J71)</f>
        <v>0.45</v>
      </c>
      <c r="F23" s="244" t="s">
        <v>592</v>
      </c>
      <c r="G23" s="242"/>
      <c r="H23" s="242"/>
      <c r="I23" s="242"/>
      <c r="J23" s="242"/>
      <c r="K23" s="57"/>
      <c r="L23" s="53"/>
      <c r="M23" s="53"/>
      <c r="N23" s="53"/>
      <c r="O23" s="53"/>
      <c r="P23" s="53"/>
      <c r="Q23" s="53"/>
      <c r="R23" s="53"/>
      <c r="S23" s="53"/>
      <c r="T23" s="53"/>
      <c r="U23" s="53"/>
      <c r="V23" s="53"/>
      <c r="W23" s="7"/>
      <c r="X23" s="53"/>
      <c r="Y23" s="53"/>
      <c r="AE23" s="53"/>
    </row>
    <row r="24" spans="1:33" s="4" customFormat="1" ht="16.5" customHeight="1">
      <c r="A24" s="308" t="s">
        <v>123</v>
      </c>
      <c r="B24" s="781" t="s">
        <v>125</v>
      </c>
      <c r="C24" s="781"/>
      <c r="D24" s="782"/>
      <c r="E24" s="246">
        <f>IF(DropDownList!N2=1,'Site Evaluation'!H69,'Site Evaluation'!E71)</f>
        <v>45</v>
      </c>
      <c r="F24" s="244" t="s">
        <v>124</v>
      </c>
      <c r="G24" s="244"/>
      <c r="H24" s="242"/>
      <c r="I24" s="242"/>
      <c r="J24" s="244"/>
      <c r="K24" s="57"/>
      <c r="L24" s="53"/>
      <c r="M24" s="53"/>
      <c r="N24" s="53"/>
      <c r="O24" s="53"/>
      <c r="P24" s="53"/>
      <c r="Q24" s="53"/>
      <c r="R24" s="53"/>
      <c r="S24" s="53"/>
      <c r="T24" s="53"/>
      <c r="U24" s="53"/>
      <c r="V24" s="53"/>
      <c r="W24" s="7"/>
      <c r="X24" s="57"/>
      <c r="Y24" s="53"/>
      <c r="AE24" s="53"/>
      <c r="AF24" s="53"/>
      <c r="AG24" s="53"/>
    </row>
    <row r="25" spans="1:33" ht="16.5" customHeight="1">
      <c r="A25" s="308" t="s">
        <v>214</v>
      </c>
      <c r="B25" s="781" t="s">
        <v>122</v>
      </c>
      <c r="C25" s="781"/>
      <c r="D25" s="782"/>
      <c r="E25" s="246">
        <f>IF(ISBLANK('Site Evaluation'!E61),"",'Site Evaluation'!E61)</f>
        <v>3</v>
      </c>
      <c r="F25" s="244" t="s">
        <v>121</v>
      </c>
      <c r="G25" s="244"/>
      <c r="H25" s="244"/>
      <c r="I25" s="244"/>
      <c r="J25" s="242"/>
      <c r="K25" s="52"/>
      <c r="L25" s="53"/>
      <c r="M25" s="53"/>
      <c r="N25" s="53"/>
      <c r="O25" s="53"/>
      <c r="P25" s="53"/>
      <c r="Q25" s="53"/>
      <c r="R25" s="53"/>
      <c r="S25" s="53"/>
      <c r="T25" s="53"/>
      <c r="U25" s="53"/>
      <c r="V25" s="53"/>
      <c r="X25" s="53"/>
    </row>
    <row r="26" spans="1:33" ht="9.75" customHeight="1">
      <c r="A26" s="299"/>
      <c r="B26" s="242"/>
      <c r="C26" s="242"/>
      <c r="D26" s="242"/>
      <c r="E26" s="242"/>
      <c r="F26" s="242"/>
      <c r="G26" s="244"/>
      <c r="H26" s="242"/>
      <c r="I26" s="242"/>
      <c r="J26" s="242"/>
      <c r="K26" s="3"/>
      <c r="L26" s="53"/>
      <c r="M26" s="53"/>
      <c r="N26" s="53"/>
      <c r="O26" s="53"/>
      <c r="P26" s="53"/>
      <c r="Q26" s="53"/>
      <c r="R26" s="53"/>
      <c r="S26" s="53"/>
      <c r="T26" s="53"/>
      <c r="U26" s="53"/>
      <c r="V26" s="53"/>
      <c r="X26" s="53"/>
    </row>
    <row r="27" spans="1:33" s="7" customFormat="1" ht="15.75" customHeight="1">
      <c r="A27" s="349" t="s">
        <v>120</v>
      </c>
      <c r="B27" s="350" t="s">
        <v>119</v>
      </c>
      <c r="C27" s="350"/>
      <c r="D27" s="350"/>
      <c r="E27" s="350"/>
      <c r="F27" s="350"/>
      <c r="G27" s="353"/>
      <c r="H27" s="353"/>
      <c r="I27" s="353"/>
      <c r="J27" s="351"/>
      <c r="K27" s="3"/>
      <c r="L27" s="53"/>
      <c r="M27" s="53"/>
      <c r="N27" s="53"/>
      <c r="O27" s="53"/>
      <c r="P27" s="88" t="s">
        <v>150</v>
      </c>
      <c r="Q27" s="53"/>
      <c r="R27" s="53"/>
      <c r="S27" s="53"/>
      <c r="T27" s="53"/>
      <c r="U27" s="53"/>
      <c r="V27" s="53"/>
      <c r="W27" s="1"/>
      <c r="X27" s="58"/>
    </row>
    <row r="28" spans="1:33" ht="13.5" customHeight="1">
      <c r="A28" s="298"/>
      <c r="B28" s="298"/>
      <c r="C28" s="298"/>
      <c r="D28" s="298"/>
      <c r="E28" s="298"/>
      <c r="F28" s="298"/>
      <c r="G28" s="298"/>
      <c r="H28" s="300"/>
      <c r="I28" s="298"/>
      <c r="J28" s="242"/>
      <c r="K28" s="3"/>
      <c r="L28" s="53"/>
      <c r="M28" s="53"/>
      <c r="N28" s="53"/>
      <c r="O28" s="53"/>
      <c r="P28" s="53"/>
      <c r="Q28" s="53"/>
      <c r="R28" s="53"/>
      <c r="S28" s="53"/>
      <c r="T28" s="53"/>
      <c r="U28" s="53"/>
      <c r="V28" s="53"/>
      <c r="X28" s="53"/>
    </row>
    <row r="29" spans="1:33" ht="13.5" customHeight="1">
      <c r="A29" s="301"/>
      <c r="B29" s="300"/>
      <c r="C29" s="300"/>
      <c r="D29" s="300"/>
      <c r="E29" s="300"/>
      <c r="F29" s="300"/>
      <c r="G29" s="300"/>
      <c r="H29" s="244"/>
      <c r="I29" s="242"/>
      <c r="J29" s="242"/>
      <c r="K29" s="3"/>
      <c r="L29" s="53"/>
      <c r="M29" s="53"/>
      <c r="N29" s="53"/>
      <c r="O29" s="53"/>
      <c r="P29" s="53"/>
      <c r="Q29" s="53"/>
      <c r="R29" s="53"/>
      <c r="S29" s="53"/>
      <c r="T29" s="53"/>
      <c r="U29" s="53"/>
      <c r="V29" s="53"/>
      <c r="X29" s="53"/>
    </row>
    <row r="30" spans="1:33" ht="13.5" customHeight="1">
      <c r="A30" s="308" t="s">
        <v>57</v>
      </c>
      <c r="B30" s="244" t="s">
        <v>655</v>
      </c>
      <c r="C30" s="244"/>
      <c r="D30" s="244"/>
      <c r="E30" s="244"/>
      <c r="F30" s="244"/>
      <c r="G30" s="244"/>
      <c r="H30" s="244"/>
      <c r="I30" s="242"/>
      <c r="J30" s="242"/>
      <c r="L30" s="53"/>
      <c r="M30" s="53"/>
      <c r="N30" s="53"/>
      <c r="O30" s="53"/>
      <c r="P30" s="53"/>
      <c r="Q30" s="53"/>
      <c r="R30" s="53"/>
      <c r="S30" s="53"/>
      <c r="T30" s="53"/>
      <c r="U30" s="53"/>
      <c r="V30" s="53"/>
      <c r="X30" s="53"/>
    </row>
    <row r="31" spans="1:33" ht="13.5" customHeight="1">
      <c r="A31" s="308"/>
      <c r="B31" s="314" t="s">
        <v>461</v>
      </c>
      <c r="C31" s="244"/>
      <c r="D31" s="244"/>
      <c r="E31" s="244"/>
      <c r="F31" s="244"/>
      <c r="G31" s="244"/>
      <c r="H31" s="244"/>
      <c r="I31" s="242"/>
      <c r="J31" s="242"/>
      <c r="L31" s="53"/>
      <c r="M31" s="53"/>
      <c r="N31" s="53"/>
      <c r="O31" s="53"/>
      <c r="P31" s="63"/>
      <c r="Q31" s="53"/>
      <c r="R31" s="53"/>
      <c r="S31" s="53"/>
      <c r="T31" s="53"/>
      <c r="U31" s="53"/>
      <c r="V31" s="53"/>
      <c r="X31" s="53"/>
    </row>
    <row r="32" spans="1:33" ht="13.5" customHeight="1" thickBot="1">
      <c r="A32" s="299"/>
      <c r="B32" s="242"/>
      <c r="C32" s="242"/>
      <c r="D32" s="242"/>
      <c r="E32" s="242"/>
      <c r="F32" s="242"/>
      <c r="G32" s="242"/>
      <c r="H32" s="242"/>
      <c r="I32" s="242"/>
      <c r="J32" s="242"/>
      <c r="L32" s="53"/>
      <c r="M32" s="53"/>
      <c r="N32" s="53"/>
      <c r="O32" s="53"/>
      <c r="P32" s="62">
        <f>C94</f>
        <v>12</v>
      </c>
      <c r="Q32" s="62"/>
      <c r="R32" s="53"/>
      <c r="S32" s="53"/>
      <c r="T32" s="53"/>
      <c r="U32" s="53"/>
      <c r="V32" s="53"/>
      <c r="X32" s="53"/>
    </row>
    <row r="33" spans="1:31" ht="16.5" customHeight="1" thickBot="1">
      <c r="A33" s="308"/>
      <c r="B33" s="244"/>
      <c r="C33" s="306">
        <f>IF(ISBLANK(D7),D6,F7)</f>
        <v>450</v>
      </c>
      <c r="D33" s="244" t="s">
        <v>656</v>
      </c>
      <c r="E33" s="244"/>
      <c r="F33" s="315">
        <f>CEILING(C33*0.83,10)</f>
        <v>380</v>
      </c>
      <c r="G33" s="244" t="s">
        <v>595</v>
      </c>
      <c r="H33" s="244"/>
      <c r="I33" s="242"/>
      <c r="J33" s="242"/>
      <c r="L33" s="53"/>
      <c r="M33" s="53"/>
      <c r="N33" s="53"/>
      <c r="O33" s="53"/>
      <c r="P33" s="53"/>
      <c r="Q33" s="53"/>
      <c r="R33" s="53"/>
      <c r="S33" s="53"/>
      <c r="T33" s="53"/>
      <c r="U33" s="53"/>
      <c r="V33" s="53"/>
      <c r="X33" s="53"/>
    </row>
    <row r="34" spans="1:31" ht="18" customHeight="1">
      <c r="A34" s="308"/>
      <c r="B34" s="244"/>
      <c r="C34" s="245"/>
      <c r="D34" s="244"/>
      <c r="E34" s="244"/>
      <c r="F34" s="316"/>
      <c r="G34" s="244"/>
      <c r="H34" s="244"/>
      <c r="I34" s="242"/>
      <c r="J34" s="242"/>
      <c r="L34" s="53"/>
      <c r="M34" s="53"/>
      <c r="N34" s="53"/>
      <c r="O34" s="53"/>
      <c r="P34" s="53"/>
      <c r="Q34" s="53"/>
      <c r="R34" s="53"/>
      <c r="S34" s="53"/>
      <c r="T34" s="53"/>
      <c r="U34" s="53"/>
      <c r="V34" s="53"/>
      <c r="X34" s="53"/>
    </row>
    <row r="35" spans="1:31" ht="13.5" customHeight="1">
      <c r="A35" s="308" t="s">
        <v>64</v>
      </c>
      <c r="B35" s="300" t="s">
        <v>462</v>
      </c>
      <c r="C35" s="244"/>
      <c r="D35" s="244"/>
      <c r="E35" s="244"/>
      <c r="F35" s="244"/>
      <c r="G35" s="244"/>
      <c r="H35" s="244"/>
      <c r="I35" s="242"/>
      <c r="J35" s="242"/>
      <c r="L35" s="53"/>
      <c r="M35" s="53"/>
      <c r="N35" s="53"/>
      <c r="O35" s="53"/>
      <c r="P35" s="53"/>
      <c r="Q35" s="53"/>
      <c r="R35" s="53"/>
      <c r="S35" s="53"/>
      <c r="T35" s="53"/>
      <c r="U35" s="53"/>
      <c r="V35" s="53"/>
      <c r="X35" s="53"/>
    </row>
    <row r="36" spans="1:31" ht="16.5" customHeight="1">
      <c r="A36" s="308"/>
      <c r="B36" s="244" t="s">
        <v>657</v>
      </c>
      <c r="C36" s="244"/>
      <c r="D36" s="244"/>
      <c r="E36" s="244"/>
      <c r="F36" s="244"/>
      <c r="G36" s="244"/>
      <c r="H36" s="244"/>
      <c r="I36" s="242"/>
      <c r="J36" s="242"/>
      <c r="L36" s="53"/>
      <c r="M36" s="53"/>
      <c r="N36" s="53"/>
      <c r="O36" s="87" t="s">
        <v>93</v>
      </c>
      <c r="P36" s="56"/>
      <c r="Q36" s="53"/>
      <c r="R36" s="53"/>
      <c r="S36" s="53"/>
      <c r="T36" s="53"/>
      <c r="U36" s="53"/>
      <c r="V36" s="53"/>
      <c r="X36" s="53"/>
    </row>
    <row r="37" spans="1:31" ht="16.5" customHeight="1" thickBot="1">
      <c r="A37" s="308"/>
      <c r="B37" s="244"/>
      <c r="C37" s="244"/>
      <c r="D37" s="244"/>
      <c r="E37" s="244"/>
      <c r="F37" s="244"/>
      <c r="G37" s="244"/>
      <c r="H37" s="244"/>
      <c r="I37" s="242"/>
      <c r="J37" s="242"/>
      <c r="L37" s="53"/>
      <c r="M37" s="76">
        <f>C99</f>
        <v>12</v>
      </c>
      <c r="N37" s="53"/>
      <c r="O37" s="66" t="s">
        <v>89</v>
      </c>
      <c r="P37" s="62">
        <f>G38</f>
        <v>10</v>
      </c>
      <c r="Q37" s="53"/>
      <c r="R37" s="63" t="s">
        <v>144</v>
      </c>
      <c r="S37" s="53"/>
      <c r="T37" s="53"/>
      <c r="U37" s="62">
        <f>G99</f>
        <v>12</v>
      </c>
      <c r="V37" s="53"/>
      <c r="X37" s="53"/>
    </row>
    <row r="38" spans="1:31" ht="18" customHeight="1" thickBot="1">
      <c r="A38" s="302"/>
      <c r="B38" s="244"/>
      <c r="C38" s="244" t="s">
        <v>597</v>
      </c>
      <c r="D38" s="244"/>
      <c r="E38" s="311">
        <f>IF(E24&gt;=120,6,12)</f>
        <v>12</v>
      </c>
      <c r="F38" s="245" t="s">
        <v>65</v>
      </c>
      <c r="G38" s="315">
        <f>ROUND(0.83*E38,0)</f>
        <v>10</v>
      </c>
      <c r="H38" s="244" t="s">
        <v>26</v>
      </c>
      <c r="I38" s="242"/>
      <c r="J38" s="242"/>
      <c r="L38" s="77" t="s">
        <v>91</v>
      </c>
      <c r="M38" s="53"/>
      <c r="N38" s="53"/>
      <c r="O38" s="66" t="s">
        <v>90</v>
      </c>
      <c r="P38" s="62">
        <f>G43</f>
        <v>38</v>
      </c>
      <c r="Q38" s="53"/>
      <c r="R38" s="62">
        <f>D57</f>
        <v>27</v>
      </c>
      <c r="S38" s="53"/>
      <c r="T38" s="53"/>
      <c r="U38" s="53"/>
      <c r="V38" s="53"/>
      <c r="X38" s="53"/>
    </row>
    <row r="39" spans="1:31" ht="13.5" customHeight="1">
      <c r="A39" s="302"/>
      <c r="B39" s="244"/>
      <c r="C39" s="244"/>
      <c r="D39" s="244"/>
      <c r="E39" s="244"/>
      <c r="F39" s="244"/>
      <c r="G39" s="244"/>
      <c r="H39" s="244"/>
      <c r="I39" s="242"/>
      <c r="J39" s="242"/>
      <c r="L39" s="63" t="s">
        <v>89</v>
      </c>
      <c r="M39" s="53"/>
      <c r="N39" s="53"/>
      <c r="O39" s="53"/>
      <c r="P39" s="53"/>
      <c r="Q39" s="53"/>
      <c r="R39" s="53"/>
      <c r="S39" s="53"/>
      <c r="T39" s="53"/>
      <c r="U39" s="53"/>
      <c r="V39" s="53"/>
      <c r="X39" s="53"/>
    </row>
    <row r="40" spans="1:31" ht="13.5" customHeight="1">
      <c r="A40" s="308" t="s">
        <v>63</v>
      </c>
      <c r="B40" s="244" t="s">
        <v>658</v>
      </c>
      <c r="C40" s="244"/>
      <c r="D40" s="244"/>
      <c r="E40" s="244"/>
      <c r="F40" s="244"/>
      <c r="G40" s="244"/>
      <c r="H40" s="244"/>
      <c r="I40" s="242"/>
      <c r="J40" s="242"/>
      <c r="L40" s="62">
        <f>I94</f>
        <v>34</v>
      </c>
      <c r="M40" s="53"/>
      <c r="N40" s="53"/>
      <c r="O40" s="53"/>
      <c r="P40" s="53"/>
      <c r="Q40" s="53"/>
      <c r="R40" s="53"/>
      <c r="S40" s="53"/>
      <c r="T40" s="53"/>
      <c r="U40" s="53"/>
      <c r="V40" s="53"/>
    </row>
    <row r="41" spans="1:31" ht="13.5" customHeight="1">
      <c r="A41" s="302"/>
      <c r="B41" s="314" t="s">
        <v>464</v>
      </c>
      <c r="C41" s="242"/>
      <c r="D41" s="242"/>
      <c r="E41" s="242"/>
      <c r="F41" s="242"/>
      <c r="G41" s="242"/>
      <c r="H41" s="242"/>
      <c r="I41" s="242"/>
      <c r="J41" s="242"/>
      <c r="L41" s="53"/>
      <c r="M41" s="53"/>
      <c r="N41" s="53"/>
      <c r="O41" s="53"/>
      <c r="P41" s="53"/>
      <c r="Q41" s="53"/>
      <c r="R41" s="53"/>
      <c r="S41" s="63" t="s">
        <v>143</v>
      </c>
      <c r="T41" s="53"/>
      <c r="U41" s="53"/>
      <c r="V41" s="53"/>
    </row>
    <row r="42" spans="1:31" ht="13.5" customHeight="1" thickBot="1">
      <c r="A42" s="302"/>
      <c r="B42" s="244"/>
      <c r="C42" s="242"/>
      <c r="D42" s="242"/>
      <c r="E42" s="242"/>
      <c r="F42" s="244"/>
      <c r="G42" s="244"/>
      <c r="H42" s="244"/>
      <c r="I42" s="242"/>
      <c r="J42" s="242"/>
      <c r="L42" s="53"/>
      <c r="M42" s="53"/>
      <c r="N42" s="53"/>
      <c r="O42" s="53"/>
      <c r="P42" s="63"/>
      <c r="Q42" s="53"/>
      <c r="R42" s="53"/>
      <c r="S42" s="62">
        <f>I104</f>
        <v>8.5</v>
      </c>
      <c r="T42" s="53"/>
      <c r="U42" s="53"/>
      <c r="V42" s="53"/>
    </row>
    <row r="43" spans="1:31" ht="19.5" thickBot="1">
      <c r="A43" s="302"/>
      <c r="B43" s="244"/>
      <c r="C43" s="306">
        <f>F33</f>
        <v>380</v>
      </c>
      <c r="D43" s="244" t="s">
        <v>659</v>
      </c>
      <c r="E43" s="246">
        <f>G38</f>
        <v>10</v>
      </c>
      <c r="F43" s="244" t="s">
        <v>118</v>
      </c>
      <c r="G43" s="315">
        <f>IF(C43=0,0,C43/E43)</f>
        <v>38</v>
      </c>
      <c r="H43" s="244" t="s">
        <v>26</v>
      </c>
      <c r="I43" s="242"/>
      <c r="J43" s="242"/>
      <c r="L43" s="53"/>
      <c r="M43" s="53"/>
      <c r="N43" s="53"/>
      <c r="O43" s="53"/>
      <c r="P43" s="62">
        <f>G94</f>
        <v>12</v>
      </c>
      <c r="Q43" s="53"/>
      <c r="R43" s="53"/>
      <c r="S43" s="58" t="s">
        <v>142</v>
      </c>
      <c r="T43" s="53"/>
      <c r="U43" s="53"/>
      <c r="V43" s="53"/>
    </row>
    <row r="44" spans="1:31" ht="13.5" customHeight="1">
      <c r="A44" s="299"/>
      <c r="B44" s="242"/>
      <c r="C44" s="242"/>
      <c r="D44" s="242"/>
      <c r="E44" s="242"/>
      <c r="F44" s="242"/>
      <c r="G44" s="242"/>
      <c r="H44" s="242"/>
      <c r="I44" s="242"/>
      <c r="J44" s="242"/>
      <c r="K44" s="3"/>
      <c r="L44" s="53"/>
      <c r="M44" s="53"/>
      <c r="N44" s="53"/>
      <c r="O44" s="53"/>
      <c r="P44" s="53"/>
      <c r="Q44" s="53"/>
      <c r="R44" s="53"/>
      <c r="S44" s="53"/>
      <c r="T44" s="53"/>
      <c r="U44" s="53"/>
      <c r="V44" s="53"/>
      <c r="AE44" s="53"/>
    </row>
    <row r="45" spans="1:31" ht="15.75" customHeight="1">
      <c r="A45" s="349" t="s">
        <v>117</v>
      </c>
      <c r="B45" s="350" t="s">
        <v>113</v>
      </c>
      <c r="C45" s="350"/>
      <c r="D45" s="353"/>
      <c r="E45" s="353"/>
      <c r="F45" s="353"/>
      <c r="G45" s="353"/>
      <c r="H45" s="353"/>
      <c r="I45" s="353"/>
      <c r="J45" s="355"/>
      <c r="K45" s="3"/>
      <c r="L45" s="53"/>
      <c r="M45" s="53"/>
      <c r="N45" s="53"/>
      <c r="O45" s="53"/>
      <c r="P45" s="53"/>
      <c r="Q45" s="53"/>
      <c r="R45" s="53"/>
      <c r="S45" s="53"/>
      <c r="T45" s="53"/>
      <c r="U45" s="53"/>
      <c r="V45" s="53"/>
      <c r="AE45" s="53"/>
    </row>
    <row r="46" spans="1:31" s="7" customFormat="1" ht="13.5" customHeight="1">
      <c r="A46" s="302"/>
      <c r="B46" s="244"/>
      <c r="C46" s="316"/>
      <c r="D46" s="244"/>
      <c r="E46" s="244"/>
      <c r="F46" s="316"/>
      <c r="G46" s="244"/>
      <c r="H46" s="244"/>
      <c r="I46" s="244"/>
      <c r="J46" s="244"/>
      <c r="K46" s="3"/>
      <c r="L46" s="53"/>
      <c r="M46" s="53"/>
      <c r="N46" s="53"/>
      <c r="O46" s="53"/>
      <c r="P46" s="53"/>
      <c r="Q46" s="53"/>
      <c r="R46" s="53"/>
      <c r="S46" s="53"/>
      <c r="T46" s="53"/>
      <c r="U46" s="53"/>
      <c r="V46" s="53"/>
      <c r="W46" s="1"/>
      <c r="Z46" s="1"/>
      <c r="AA46" s="1"/>
      <c r="AB46" s="1"/>
      <c r="AC46" s="1"/>
      <c r="AD46" s="1"/>
      <c r="AE46" s="58"/>
    </row>
    <row r="47" spans="1:31" ht="15" customHeight="1">
      <c r="A47" s="35"/>
      <c r="B47" s="18"/>
      <c r="C47" s="791" t="s">
        <v>160</v>
      </c>
      <c r="D47" s="792"/>
      <c r="E47" s="329">
        <v>2.67</v>
      </c>
      <c r="F47" s="305"/>
      <c r="G47" s="18"/>
      <c r="H47" s="18"/>
      <c r="I47" s="300"/>
      <c r="J47" s="300"/>
      <c r="K47" s="53"/>
      <c r="L47" s="53"/>
      <c r="M47" s="53"/>
      <c r="N47" s="53"/>
      <c r="O47" s="53"/>
      <c r="P47" s="88" t="s">
        <v>83</v>
      </c>
      <c r="Q47" s="62">
        <f>I99</f>
        <v>62</v>
      </c>
      <c r="R47" s="53"/>
      <c r="S47" s="53"/>
      <c r="T47" s="53"/>
      <c r="U47" s="53"/>
      <c r="V47" s="53"/>
    </row>
    <row r="48" spans="1:31" ht="13.5" customHeight="1">
      <c r="A48" s="301"/>
      <c r="B48" s="298"/>
      <c r="C48" s="298"/>
      <c r="D48" s="298"/>
      <c r="E48" s="298"/>
      <c r="F48" s="300"/>
      <c r="G48" s="300"/>
      <c r="H48" s="300"/>
      <c r="I48" s="300"/>
      <c r="J48" s="300"/>
      <c r="K48" s="53"/>
      <c r="L48" s="53"/>
      <c r="M48" s="53"/>
      <c r="N48" s="53"/>
      <c r="O48" s="53"/>
      <c r="P48" s="53"/>
      <c r="Q48" s="53"/>
      <c r="R48" s="53"/>
      <c r="S48" s="53"/>
      <c r="T48" s="53"/>
      <c r="U48" s="53"/>
      <c r="V48" s="58"/>
    </row>
    <row r="49" spans="1:22" ht="13.5" customHeight="1">
      <c r="A49" s="308" t="s">
        <v>111</v>
      </c>
      <c r="B49" s="300" t="s">
        <v>468</v>
      </c>
      <c r="C49" s="244"/>
      <c r="D49" s="244"/>
      <c r="E49" s="244"/>
      <c r="F49" s="244"/>
      <c r="G49" s="244"/>
      <c r="H49" s="300"/>
      <c r="I49" s="300"/>
      <c r="J49" s="300"/>
      <c r="K49" s="58"/>
      <c r="L49" s="53"/>
      <c r="M49" s="53"/>
      <c r="N49" s="53"/>
      <c r="O49" s="53"/>
      <c r="P49" s="53"/>
      <c r="Q49" s="53"/>
      <c r="R49" s="53"/>
      <c r="S49" s="53"/>
      <c r="T49" s="53"/>
      <c r="U49" s="53"/>
      <c r="V49" s="53"/>
    </row>
    <row r="50" spans="1:22" ht="13.5" customHeight="1">
      <c r="A50" s="308"/>
      <c r="B50" s="314" t="s">
        <v>469</v>
      </c>
      <c r="C50" s="244"/>
      <c r="D50" s="244"/>
      <c r="E50" s="244"/>
      <c r="F50" s="244"/>
      <c r="G50" s="244"/>
      <c r="H50" s="300"/>
      <c r="I50" s="300"/>
      <c r="J50" s="300"/>
      <c r="K50" s="53"/>
    </row>
    <row r="51" spans="1:22" ht="13.5" customHeight="1" thickBot="1">
      <c r="A51" s="308"/>
      <c r="B51" s="314"/>
      <c r="C51" s="244"/>
      <c r="D51" s="244"/>
      <c r="E51" s="244"/>
      <c r="F51" s="244"/>
      <c r="G51" s="244"/>
      <c r="H51" s="300"/>
      <c r="I51" s="300"/>
      <c r="J51" s="300"/>
      <c r="K51" s="53"/>
    </row>
    <row r="52" spans="1:22" ht="16.5" thickBot="1">
      <c r="A52" s="302"/>
      <c r="B52" s="437">
        <f>E47</f>
        <v>2.67</v>
      </c>
      <c r="C52" s="316" t="s">
        <v>85</v>
      </c>
      <c r="D52" s="309">
        <f>G38</f>
        <v>10</v>
      </c>
      <c r="E52" s="318" t="s">
        <v>110</v>
      </c>
      <c r="F52" s="315">
        <f>ROUNDUP((D52*E47),0)</f>
        <v>27</v>
      </c>
      <c r="G52" s="319" t="s">
        <v>26</v>
      </c>
      <c r="H52" s="244"/>
      <c r="I52" s="244"/>
      <c r="J52" s="244"/>
      <c r="K52" s="53"/>
      <c r="L52" s="58" t="s">
        <v>82</v>
      </c>
      <c r="M52" s="53"/>
      <c r="N52" s="53"/>
      <c r="O52" s="53"/>
      <c r="P52" s="53"/>
      <c r="Q52" s="53"/>
      <c r="R52" s="53"/>
      <c r="S52" s="53"/>
      <c r="T52" s="53"/>
    </row>
    <row r="53" spans="1:22" ht="13.5" customHeight="1">
      <c r="A53" s="299"/>
      <c r="B53" s="242"/>
      <c r="C53" s="242"/>
      <c r="D53" s="242"/>
      <c r="E53" s="242"/>
      <c r="F53" s="242"/>
      <c r="G53" s="242"/>
      <c r="H53" s="244"/>
      <c r="I53" s="244"/>
      <c r="J53" s="244"/>
      <c r="K53" s="53"/>
      <c r="L53" s="796"/>
      <c r="M53" s="797"/>
      <c r="N53" s="797"/>
      <c r="O53" s="797"/>
      <c r="P53" s="797"/>
      <c r="Q53" s="797"/>
      <c r="R53" s="797"/>
      <c r="S53" s="797"/>
      <c r="T53" s="798"/>
    </row>
    <row r="54" spans="1:22" ht="15.75" customHeight="1">
      <c r="A54" s="349" t="s">
        <v>114</v>
      </c>
      <c r="B54" s="350" t="s">
        <v>158</v>
      </c>
      <c r="C54" s="350"/>
      <c r="D54" s="350"/>
      <c r="E54" s="350"/>
      <c r="F54" s="353"/>
      <c r="G54" s="353"/>
      <c r="H54" s="353"/>
      <c r="I54" s="353"/>
      <c r="J54" s="355"/>
      <c r="K54" s="53"/>
      <c r="L54" s="793"/>
      <c r="M54" s="794"/>
      <c r="N54" s="794"/>
      <c r="O54" s="794"/>
      <c r="P54" s="794"/>
      <c r="Q54" s="794"/>
      <c r="R54" s="794"/>
      <c r="S54" s="794"/>
      <c r="T54" s="795"/>
    </row>
    <row r="55" spans="1:22" ht="10.5" customHeight="1">
      <c r="A55" s="242"/>
      <c r="B55" s="242"/>
      <c r="C55" s="242"/>
      <c r="D55" s="242"/>
      <c r="E55" s="242"/>
      <c r="F55" s="242"/>
      <c r="G55" s="242"/>
      <c r="H55" s="242"/>
      <c r="I55" s="242"/>
      <c r="J55" s="242"/>
      <c r="K55" s="53"/>
      <c r="L55" s="793"/>
      <c r="M55" s="794"/>
      <c r="N55" s="794"/>
      <c r="O55" s="794"/>
      <c r="P55" s="794"/>
      <c r="Q55" s="794"/>
      <c r="R55" s="794"/>
      <c r="S55" s="794"/>
      <c r="T55" s="795"/>
    </row>
    <row r="56" spans="1:22" ht="13.5" customHeight="1">
      <c r="A56" s="297"/>
      <c r="B56" s="300"/>
      <c r="C56" s="298"/>
      <c r="D56" s="298"/>
      <c r="E56" s="298"/>
      <c r="F56" s="298"/>
      <c r="G56" s="298"/>
      <c r="H56" s="298"/>
      <c r="I56" s="298"/>
      <c r="J56" s="298"/>
      <c r="K56" s="53"/>
      <c r="L56" s="788"/>
      <c r="M56" s="789"/>
      <c r="N56" s="789"/>
      <c r="O56" s="789"/>
      <c r="P56" s="789"/>
      <c r="Q56" s="789"/>
      <c r="R56" s="789"/>
      <c r="S56" s="789"/>
      <c r="T56" s="790"/>
    </row>
    <row r="57" spans="1:22" ht="15.75">
      <c r="A57" s="397" t="s">
        <v>57</v>
      </c>
      <c r="B57" s="298" t="s">
        <v>157</v>
      </c>
      <c r="C57" s="242"/>
      <c r="D57" s="309">
        <f>F52</f>
        <v>27</v>
      </c>
      <c r="E57" s="242" t="s">
        <v>128</v>
      </c>
      <c r="F57" s="242"/>
      <c r="G57" s="242"/>
      <c r="H57" s="242"/>
      <c r="I57" s="242"/>
      <c r="J57" s="242"/>
      <c r="K57" s="53"/>
    </row>
    <row r="58" spans="1:22" ht="13.5" customHeight="1">
      <c r="A58" s="397"/>
      <c r="B58" s="242"/>
      <c r="C58" s="242"/>
      <c r="D58" s="242"/>
      <c r="E58" s="242"/>
      <c r="F58" s="242"/>
      <c r="G58" s="242"/>
      <c r="H58" s="242"/>
      <c r="I58" s="242"/>
      <c r="J58" s="242"/>
      <c r="K58" s="53"/>
    </row>
    <row r="59" spans="1:22" ht="13.5" customHeight="1">
      <c r="A59" s="397" t="s">
        <v>64</v>
      </c>
      <c r="B59" s="298" t="s">
        <v>470</v>
      </c>
      <c r="C59" s="242"/>
      <c r="D59" s="242"/>
      <c r="E59" s="242"/>
      <c r="F59" s="242"/>
      <c r="G59" s="242"/>
      <c r="H59" s="242"/>
      <c r="I59" s="242"/>
      <c r="J59" s="242"/>
      <c r="K59" s="53"/>
    </row>
    <row r="60" spans="1:22" ht="13.5" customHeight="1">
      <c r="A60" s="397"/>
      <c r="B60" s="242"/>
      <c r="C60" s="242"/>
      <c r="D60" s="242"/>
      <c r="E60" s="242"/>
      <c r="F60" s="242"/>
      <c r="G60" s="242"/>
      <c r="H60" s="242"/>
      <c r="I60" s="242"/>
      <c r="J60" s="242"/>
      <c r="K60" s="53"/>
    </row>
    <row r="61" spans="1:22" ht="13.5" customHeight="1">
      <c r="A61" s="397"/>
      <c r="B61" s="300" t="s">
        <v>480</v>
      </c>
      <c r="C61" s="242"/>
      <c r="D61" s="242"/>
      <c r="E61" s="242"/>
      <c r="F61" s="242"/>
      <c r="G61" s="242"/>
      <c r="H61" s="242"/>
      <c r="I61" s="242"/>
      <c r="J61" s="242"/>
      <c r="K61" s="53"/>
    </row>
    <row r="62" spans="1:22" ht="15">
      <c r="A62" s="397"/>
      <c r="B62" s="314" t="s">
        <v>471</v>
      </c>
      <c r="C62" s="242"/>
      <c r="D62" s="242"/>
      <c r="E62" s="242"/>
      <c r="F62" s="242"/>
      <c r="G62" s="242"/>
      <c r="H62" s="242"/>
      <c r="I62" s="242"/>
      <c r="J62" s="242"/>
      <c r="K62" s="53"/>
    </row>
    <row r="63" spans="1:22" ht="13.5" customHeight="1" thickBot="1">
      <c r="A63" s="397"/>
      <c r="B63" s="244"/>
      <c r="C63" s="242"/>
      <c r="D63" s="242"/>
      <c r="E63" s="242"/>
      <c r="F63" s="242"/>
      <c r="G63" s="242"/>
      <c r="H63" s="242"/>
      <c r="I63" s="242"/>
      <c r="J63" s="242"/>
    </row>
    <row r="64" spans="1:22" ht="13.5" customHeight="1" thickBot="1">
      <c r="A64" s="242"/>
      <c r="B64" s="328">
        <v>3</v>
      </c>
      <c r="C64" s="243" t="s">
        <v>155</v>
      </c>
      <c r="D64" s="309">
        <f>E20</f>
        <v>4</v>
      </c>
      <c r="E64" s="242" t="s">
        <v>79</v>
      </c>
      <c r="F64" s="315">
        <f>IF(3-D64&lt;1,1,3-D64)</f>
        <v>1</v>
      </c>
      <c r="G64" s="242" t="s">
        <v>26</v>
      </c>
      <c r="H64" s="242"/>
      <c r="I64" s="242"/>
      <c r="J64" s="242"/>
    </row>
    <row r="65" spans="1:10" ht="15">
      <c r="A65" s="242"/>
      <c r="B65" s="242"/>
      <c r="C65" s="242"/>
      <c r="D65" s="242"/>
      <c r="E65" s="242"/>
      <c r="F65" s="242"/>
      <c r="G65" s="242"/>
      <c r="H65" s="242"/>
      <c r="I65" s="242"/>
      <c r="J65" s="242"/>
    </row>
    <row r="66" spans="1:10" s="7" customFormat="1" ht="15" customHeight="1">
      <c r="A66" s="242"/>
      <c r="B66" s="298" t="s">
        <v>478</v>
      </c>
      <c r="C66" s="242"/>
      <c r="D66" s="242"/>
      <c r="E66" s="242"/>
      <c r="F66" s="242"/>
      <c r="G66" s="242"/>
      <c r="H66" s="242"/>
      <c r="I66" s="242"/>
      <c r="J66" s="242"/>
    </row>
    <row r="67" spans="1:10" s="7" customFormat="1" ht="13.5" customHeight="1">
      <c r="A67" s="242"/>
      <c r="B67" s="253" t="s">
        <v>472</v>
      </c>
      <c r="C67" s="242"/>
      <c r="D67" s="242"/>
      <c r="E67" s="242"/>
      <c r="F67" s="242"/>
      <c r="G67" s="242"/>
      <c r="H67" s="242"/>
      <c r="I67" s="242"/>
      <c r="J67" s="242"/>
    </row>
    <row r="68" spans="1:10" s="7" customFormat="1" ht="13.5" customHeight="1" thickBot="1">
      <c r="A68" s="242"/>
      <c r="B68" s="242"/>
      <c r="C68" s="242"/>
      <c r="D68" s="242"/>
      <c r="E68" s="242"/>
      <c r="F68" s="242"/>
      <c r="G68" s="242"/>
      <c r="H68" s="242"/>
      <c r="I68" s="242"/>
      <c r="J68" s="242"/>
    </row>
    <row r="69" spans="1:10" s="7" customFormat="1" ht="16.5" thickBot="1">
      <c r="A69" s="242"/>
      <c r="B69" s="242"/>
      <c r="C69" s="309">
        <f>F64</f>
        <v>1</v>
      </c>
      <c r="D69" s="242" t="s">
        <v>152</v>
      </c>
      <c r="E69" s="315">
        <f>C69+2</f>
        <v>3</v>
      </c>
      <c r="F69" s="242" t="s">
        <v>26</v>
      </c>
      <c r="G69" s="242"/>
      <c r="H69" s="242"/>
      <c r="I69" s="242"/>
      <c r="J69" s="242"/>
    </row>
    <row r="70" spans="1:10" s="7" customFormat="1" ht="13.5" customHeight="1">
      <c r="A70" s="242"/>
      <c r="B70" s="242"/>
      <c r="C70" s="244"/>
      <c r="D70" s="242"/>
      <c r="E70" s="244"/>
      <c r="F70" s="242"/>
      <c r="G70" s="242"/>
      <c r="H70" s="242"/>
      <c r="I70" s="242"/>
      <c r="J70" s="242"/>
    </row>
    <row r="71" spans="1:10" ht="15.75">
      <c r="A71" s="242"/>
      <c r="B71" s="298" t="s">
        <v>479</v>
      </c>
      <c r="C71" s="242"/>
      <c r="D71" s="242"/>
      <c r="E71" s="242"/>
      <c r="F71" s="242"/>
      <c r="G71" s="242"/>
      <c r="H71" s="242"/>
      <c r="I71" s="242"/>
      <c r="J71" s="242"/>
    </row>
    <row r="72" spans="1:10" ht="13.5" customHeight="1">
      <c r="A72" s="242"/>
      <c r="B72" s="253" t="s">
        <v>473</v>
      </c>
      <c r="C72" s="242"/>
      <c r="D72" s="242"/>
      <c r="E72" s="242"/>
      <c r="F72" s="242"/>
      <c r="G72" s="242"/>
      <c r="H72" s="242"/>
      <c r="I72" s="242"/>
      <c r="J72" s="242"/>
    </row>
    <row r="73" spans="1:10" ht="13.5" customHeight="1" thickBot="1">
      <c r="A73" s="242"/>
      <c r="B73" s="242"/>
      <c r="C73" s="242"/>
      <c r="D73" s="242"/>
      <c r="E73" s="242"/>
      <c r="F73" s="242"/>
      <c r="G73" s="242"/>
      <c r="H73" s="242"/>
      <c r="I73" s="242"/>
      <c r="J73" s="242"/>
    </row>
    <row r="74" spans="1:10" ht="16.5" thickBot="1">
      <c r="A74" s="242"/>
      <c r="B74" s="242"/>
      <c r="C74" s="309">
        <f>E69</f>
        <v>3</v>
      </c>
      <c r="D74" s="242" t="s">
        <v>151</v>
      </c>
      <c r="E74" s="315">
        <f>C74*4</f>
        <v>12</v>
      </c>
      <c r="F74" s="242" t="s">
        <v>26</v>
      </c>
      <c r="G74" s="242"/>
      <c r="H74" s="242"/>
      <c r="I74" s="242"/>
      <c r="J74" s="242"/>
    </row>
    <row r="75" spans="1:10" s="7" customFormat="1" ht="13.5" customHeight="1">
      <c r="A75" s="242"/>
      <c r="B75" s="242"/>
      <c r="C75" s="242"/>
      <c r="D75" s="242"/>
      <c r="E75" s="242"/>
      <c r="F75" s="242"/>
      <c r="G75" s="242"/>
      <c r="H75" s="242"/>
      <c r="I75" s="242"/>
      <c r="J75" s="242"/>
    </row>
    <row r="76" spans="1:10" s="7" customFormat="1" ht="13.5" customHeight="1">
      <c r="A76" s="242"/>
      <c r="B76" s="298" t="s">
        <v>481</v>
      </c>
      <c r="C76" s="242"/>
      <c r="D76" s="242"/>
      <c r="E76" s="242"/>
      <c r="F76" s="242"/>
      <c r="G76" s="242"/>
      <c r="H76" s="242"/>
      <c r="I76" s="242"/>
      <c r="J76" s="242"/>
    </row>
    <row r="77" spans="1:10" ht="15">
      <c r="A77" s="242"/>
      <c r="B77" s="253" t="s">
        <v>474</v>
      </c>
      <c r="C77" s="242"/>
      <c r="D77" s="242"/>
      <c r="E77" s="242"/>
      <c r="F77" s="242"/>
      <c r="G77" s="242"/>
      <c r="H77" s="242"/>
      <c r="I77" s="242"/>
      <c r="J77" s="242"/>
    </row>
    <row r="78" spans="1:10" ht="13.5" customHeight="1" thickBot="1">
      <c r="A78" s="242"/>
      <c r="B78" s="253"/>
      <c r="C78" s="242"/>
      <c r="D78" s="242"/>
      <c r="E78" s="242"/>
      <c r="F78" s="242"/>
      <c r="G78" s="242"/>
      <c r="H78" s="242"/>
      <c r="I78" s="242"/>
      <c r="J78" s="242"/>
    </row>
    <row r="79" spans="1:10" ht="16.5" thickBot="1">
      <c r="A79" s="242"/>
      <c r="B79" s="242"/>
      <c r="C79" s="309">
        <f>E74</f>
        <v>12</v>
      </c>
      <c r="D79" s="242" t="s">
        <v>146</v>
      </c>
      <c r="E79" s="309">
        <f>G38</f>
        <v>10</v>
      </c>
      <c r="F79" s="242" t="s">
        <v>146</v>
      </c>
      <c r="G79" s="309">
        <f>E74</f>
        <v>12</v>
      </c>
      <c r="H79" s="242" t="s">
        <v>148</v>
      </c>
      <c r="I79" s="315">
        <f>C79+E79+G79</f>
        <v>34</v>
      </c>
      <c r="J79" s="242" t="s">
        <v>26</v>
      </c>
    </row>
    <row r="80" spans="1:10" ht="13.5" customHeight="1">
      <c r="A80" s="242"/>
      <c r="B80" s="242"/>
      <c r="C80" s="242"/>
      <c r="D80" s="242"/>
      <c r="E80" s="242"/>
      <c r="F80" s="242"/>
      <c r="G80" s="242"/>
      <c r="H80" s="242"/>
      <c r="I80" s="242"/>
      <c r="J80" s="242"/>
    </row>
    <row r="81" spans="1:31" ht="13.5" customHeight="1">
      <c r="A81" s="242"/>
      <c r="B81" s="298" t="s">
        <v>482</v>
      </c>
      <c r="C81" s="242"/>
      <c r="D81" s="242"/>
      <c r="E81" s="242"/>
      <c r="F81" s="242"/>
      <c r="G81" s="242"/>
      <c r="H81" s="242"/>
      <c r="I81" s="242"/>
      <c r="J81" s="242"/>
    </row>
    <row r="82" spans="1:31" ht="13.5" customHeight="1">
      <c r="A82" s="242"/>
      <c r="B82" s="253" t="s">
        <v>475</v>
      </c>
      <c r="C82" s="242"/>
      <c r="D82" s="242"/>
      <c r="E82" s="242"/>
      <c r="F82" s="242"/>
      <c r="G82" s="242"/>
      <c r="H82" s="242"/>
      <c r="I82" s="242"/>
      <c r="J82" s="242"/>
    </row>
    <row r="83" spans="1:31" ht="13.5" customHeight="1" thickBot="1">
      <c r="A83" s="242"/>
      <c r="B83" s="242"/>
      <c r="C83" s="242"/>
      <c r="D83" s="242"/>
      <c r="E83" s="242"/>
      <c r="F83" s="242"/>
      <c r="G83" s="242"/>
      <c r="H83" s="242"/>
      <c r="I83" s="242"/>
      <c r="J83" s="242"/>
    </row>
    <row r="84" spans="1:31" ht="16.5" thickBot="1">
      <c r="A84" s="242"/>
      <c r="B84" s="242"/>
      <c r="C84" s="309">
        <f>F52</f>
        <v>27</v>
      </c>
      <c r="D84" s="242" t="s">
        <v>149</v>
      </c>
      <c r="E84" s="309">
        <f>I79</f>
        <v>34</v>
      </c>
      <c r="F84" s="242" t="s">
        <v>148</v>
      </c>
      <c r="G84" s="315">
        <f>C84-E84</f>
        <v>-7</v>
      </c>
      <c r="H84" s="242" t="s">
        <v>26</v>
      </c>
      <c r="I84" s="242"/>
      <c r="J84" s="242"/>
    </row>
    <row r="85" spans="1:31" ht="13.5" customHeight="1">
      <c r="A85" s="242"/>
      <c r="B85" s="242"/>
      <c r="C85" s="242"/>
      <c r="D85" s="242"/>
      <c r="E85" s="242"/>
      <c r="F85" s="438" t="s">
        <v>147</v>
      </c>
      <c r="G85" s="242"/>
      <c r="H85" s="242"/>
      <c r="I85" s="242"/>
      <c r="J85" s="242"/>
    </row>
    <row r="86" spans="1:31" ht="13.5" customHeight="1">
      <c r="A86" s="299"/>
      <c r="B86" s="298" t="s">
        <v>483</v>
      </c>
      <c r="C86" s="242"/>
      <c r="D86" s="242"/>
      <c r="E86" s="242"/>
      <c r="F86" s="242"/>
      <c r="G86" s="242"/>
      <c r="H86" s="242"/>
      <c r="I86" s="242"/>
      <c r="J86" s="242"/>
    </row>
    <row r="87" spans="1:31" ht="15" customHeight="1">
      <c r="A87" s="299"/>
      <c r="B87" s="253" t="s">
        <v>476</v>
      </c>
      <c r="C87" s="242"/>
      <c r="D87" s="242"/>
      <c r="E87" s="242"/>
      <c r="F87" s="242"/>
      <c r="G87" s="242"/>
      <c r="H87" s="242"/>
      <c r="I87" s="242"/>
      <c r="J87" s="242"/>
    </row>
    <row r="88" spans="1:31" ht="15" customHeight="1" thickBot="1">
      <c r="A88" s="299"/>
      <c r="B88" s="242"/>
      <c r="C88" s="242"/>
      <c r="D88" s="242"/>
      <c r="E88" s="242"/>
      <c r="F88" s="242"/>
      <c r="G88" s="242"/>
      <c r="H88" s="242"/>
      <c r="I88" s="242"/>
      <c r="J88" s="242"/>
    </row>
    <row r="89" spans="1:31" ht="16.5" thickBot="1">
      <c r="A89" s="299"/>
      <c r="B89" s="242"/>
      <c r="C89" s="246">
        <f>G84</f>
        <v>-7</v>
      </c>
      <c r="D89" s="242" t="s">
        <v>146</v>
      </c>
      <c r="E89" s="306">
        <f>E74</f>
        <v>12</v>
      </c>
      <c r="F89" s="242" t="s">
        <v>145</v>
      </c>
      <c r="G89" s="313">
        <f>C89+E89</f>
        <v>5</v>
      </c>
      <c r="H89" s="242" t="s">
        <v>26</v>
      </c>
      <c r="I89" s="242"/>
      <c r="J89" s="242"/>
    </row>
    <row r="90" spans="1:31" ht="13.5" customHeight="1">
      <c r="A90" s="299"/>
      <c r="B90" s="242"/>
      <c r="C90" s="242"/>
      <c r="D90" s="242"/>
      <c r="E90" s="242"/>
      <c r="F90" s="242"/>
      <c r="G90" s="242"/>
      <c r="H90" s="242"/>
      <c r="I90" s="242"/>
      <c r="J90" s="242"/>
    </row>
    <row r="91" spans="1:31" ht="13.5" customHeight="1">
      <c r="A91" s="299"/>
      <c r="B91" s="298" t="s">
        <v>492</v>
      </c>
      <c r="C91" s="242"/>
      <c r="D91" s="242"/>
      <c r="E91" s="242"/>
      <c r="F91" s="242"/>
      <c r="G91" s="242"/>
      <c r="H91" s="242"/>
      <c r="I91" s="242"/>
      <c r="J91" s="242"/>
    </row>
    <row r="92" spans="1:31" ht="13.5" customHeight="1">
      <c r="A92" s="299"/>
      <c r="B92" s="253" t="s">
        <v>477</v>
      </c>
      <c r="C92" s="253"/>
      <c r="D92" s="253"/>
      <c r="E92" s="253"/>
      <c r="F92" s="242"/>
      <c r="G92" s="242"/>
      <c r="H92" s="242"/>
      <c r="I92" s="242"/>
      <c r="J92" s="242"/>
    </row>
    <row r="93" spans="1:31" ht="13.5" customHeight="1" thickBot="1">
      <c r="A93" s="299"/>
      <c r="B93" s="253"/>
      <c r="C93" s="253"/>
      <c r="D93" s="253"/>
      <c r="E93" s="253"/>
      <c r="F93" s="242"/>
      <c r="G93" s="242"/>
      <c r="H93" s="242"/>
      <c r="I93" s="242"/>
      <c r="J93" s="242"/>
    </row>
    <row r="94" spans="1:31" ht="16.5" thickBot="1">
      <c r="A94" s="299"/>
      <c r="B94" s="242"/>
      <c r="C94" s="309">
        <f>IF(G84&lt;0,E74,G89)</f>
        <v>12</v>
      </c>
      <c r="D94" s="242" t="s">
        <v>80</v>
      </c>
      <c r="E94" s="309">
        <f>G38</f>
        <v>10</v>
      </c>
      <c r="F94" s="242" t="s">
        <v>80</v>
      </c>
      <c r="G94" s="309">
        <f>C94</f>
        <v>12</v>
      </c>
      <c r="H94" s="242" t="s">
        <v>79</v>
      </c>
      <c r="I94" s="315">
        <f>C94+E94+G94</f>
        <v>34</v>
      </c>
      <c r="J94" s="242" t="s">
        <v>26</v>
      </c>
    </row>
    <row r="95" spans="1:31" ht="13.5" customHeight="1">
      <c r="A95" s="299"/>
      <c r="B95" s="242"/>
      <c r="C95" s="242"/>
      <c r="D95" s="242"/>
      <c r="E95" s="242"/>
      <c r="F95" s="242"/>
      <c r="G95" s="242"/>
      <c r="H95" s="242"/>
      <c r="I95" s="242"/>
      <c r="J95" s="242"/>
      <c r="Z95" s="53"/>
      <c r="AA95" s="53"/>
      <c r="AB95" s="53"/>
      <c r="AC95" s="53"/>
      <c r="AD95" s="53"/>
      <c r="AE95" s="53"/>
    </row>
    <row r="96" spans="1:31" ht="13.5" customHeight="1">
      <c r="A96" s="299"/>
      <c r="B96" s="298" t="s">
        <v>485</v>
      </c>
      <c r="C96" s="242"/>
      <c r="D96" s="242"/>
      <c r="E96" s="242"/>
      <c r="F96" s="242"/>
      <c r="G96" s="242"/>
      <c r="H96" s="242"/>
      <c r="I96" s="242"/>
      <c r="J96" s="242"/>
      <c r="Z96" s="53"/>
      <c r="AA96" s="53"/>
      <c r="AB96" s="53"/>
      <c r="AC96" s="53"/>
      <c r="AD96" s="53"/>
      <c r="AE96" s="53"/>
    </row>
    <row r="97" spans="1:31" ht="13.5" customHeight="1">
      <c r="A97" s="299"/>
      <c r="B97" s="253" t="s">
        <v>484</v>
      </c>
      <c r="C97" s="242"/>
      <c r="D97" s="242"/>
      <c r="E97" s="242"/>
      <c r="F97" s="242"/>
      <c r="G97" s="242"/>
      <c r="H97" s="242"/>
      <c r="I97" s="242"/>
      <c r="J97" s="242"/>
    </row>
    <row r="98" spans="1:31" ht="13.5" customHeight="1" thickBot="1">
      <c r="A98" s="299"/>
      <c r="B98" s="253"/>
      <c r="C98" s="242"/>
      <c r="D98" s="242"/>
      <c r="E98" s="242"/>
      <c r="F98" s="242"/>
      <c r="G98" s="242"/>
      <c r="H98" s="242"/>
      <c r="I98" s="242"/>
      <c r="J98" s="242"/>
    </row>
    <row r="99" spans="1:31" ht="16.5" thickBot="1">
      <c r="A99" s="299"/>
      <c r="B99" s="242"/>
      <c r="C99" s="309">
        <f>C94</f>
        <v>12</v>
      </c>
      <c r="D99" s="242" t="s">
        <v>80</v>
      </c>
      <c r="E99" s="309">
        <f>G43</f>
        <v>38</v>
      </c>
      <c r="F99" s="242" t="s">
        <v>80</v>
      </c>
      <c r="G99" s="309">
        <f>C99</f>
        <v>12</v>
      </c>
      <c r="H99" s="242" t="s">
        <v>79</v>
      </c>
      <c r="I99" s="315">
        <f>C99+E99+G99</f>
        <v>62</v>
      </c>
      <c r="J99" s="242" t="s">
        <v>26</v>
      </c>
    </row>
    <row r="100" spans="1:31" ht="13.5" customHeight="1">
      <c r="A100" s="299"/>
      <c r="B100" s="242"/>
      <c r="C100" s="242"/>
      <c r="D100" s="242"/>
      <c r="E100" s="242"/>
      <c r="F100" s="242"/>
      <c r="G100" s="242"/>
      <c r="H100" s="242"/>
      <c r="I100" s="242"/>
      <c r="J100" s="242"/>
    </row>
    <row r="101" spans="1:31" ht="13.5" customHeight="1">
      <c r="A101" s="299"/>
      <c r="B101" s="298" t="s">
        <v>487</v>
      </c>
      <c r="C101" s="242"/>
      <c r="D101" s="242"/>
      <c r="E101" s="242"/>
      <c r="F101" s="242"/>
      <c r="G101" s="242"/>
      <c r="H101" s="242"/>
      <c r="I101" s="242"/>
      <c r="J101" s="242"/>
    </row>
    <row r="102" spans="1:31" ht="13.5" customHeight="1">
      <c r="A102" s="299"/>
      <c r="B102" s="253" t="s">
        <v>486</v>
      </c>
      <c r="C102" s="242"/>
      <c r="D102" s="242"/>
      <c r="E102" s="242"/>
      <c r="F102" s="242"/>
      <c r="G102" s="242"/>
      <c r="H102" s="242"/>
      <c r="I102" s="242"/>
      <c r="J102" s="242"/>
    </row>
    <row r="103" spans="1:31" ht="13.5" customHeight="1" thickBot="1">
      <c r="A103" s="299"/>
      <c r="B103" s="242"/>
      <c r="C103" s="242"/>
      <c r="D103" s="242"/>
      <c r="E103" s="242"/>
      <c r="F103" s="242"/>
      <c r="G103" s="242"/>
      <c r="H103" s="242"/>
      <c r="I103" s="242"/>
      <c r="J103" s="242"/>
    </row>
    <row r="104" spans="1:31" ht="16.5" thickBot="1">
      <c r="A104" s="299"/>
      <c r="B104" s="242"/>
      <c r="C104" s="242"/>
      <c r="D104" s="309">
        <f>F52</f>
        <v>27</v>
      </c>
      <c r="E104" s="242" t="s">
        <v>105</v>
      </c>
      <c r="F104" s="309">
        <f>G38</f>
        <v>10</v>
      </c>
      <c r="G104" s="242" t="s">
        <v>141</v>
      </c>
      <c r="H104" s="242"/>
      <c r="I104" s="315">
        <f>(D104-F104)/2</f>
        <v>8.5</v>
      </c>
      <c r="J104" s="242" t="s">
        <v>26</v>
      </c>
      <c r="Z104" s="53"/>
      <c r="AA104" s="53"/>
      <c r="AB104" s="53"/>
      <c r="AC104" s="53"/>
      <c r="AD104" s="53"/>
      <c r="AE104" s="53"/>
    </row>
    <row r="105" spans="1:31" ht="13.5" customHeight="1" thickBot="1">
      <c r="A105" s="299"/>
      <c r="B105" s="242"/>
      <c r="C105" s="242"/>
      <c r="D105" s="316"/>
      <c r="E105" s="242"/>
      <c r="F105" s="316"/>
      <c r="G105" s="242"/>
      <c r="H105" s="242"/>
      <c r="I105" s="316"/>
      <c r="J105" s="242"/>
      <c r="Z105" s="53"/>
      <c r="AA105" s="53"/>
      <c r="AB105" s="53"/>
      <c r="AC105" s="53"/>
      <c r="AD105" s="53"/>
      <c r="AE105" s="53"/>
    </row>
    <row r="106" spans="1:31" ht="17.25" customHeight="1" thickBot="1">
      <c r="A106" s="363"/>
      <c r="B106" s="787" t="s">
        <v>140</v>
      </c>
      <c r="C106" s="787"/>
      <c r="D106" s="787"/>
      <c r="E106" s="439">
        <f>I94</f>
        <v>34</v>
      </c>
      <c r="F106" s="440" t="s">
        <v>77</v>
      </c>
      <c r="G106" s="332">
        <f>I99</f>
        <v>62</v>
      </c>
      <c r="H106" s="332" t="s">
        <v>26</v>
      </c>
      <c r="I106" s="441"/>
      <c r="J106" s="442"/>
      <c r="Z106" s="53"/>
      <c r="AA106" s="53"/>
      <c r="AB106" s="53"/>
      <c r="AC106" s="53"/>
      <c r="AD106" s="53"/>
      <c r="AE106" s="53"/>
    </row>
    <row r="107" spans="1:31" ht="13.5" hidden="1" customHeight="1">
      <c r="A107" s="299"/>
      <c r="B107" s="242"/>
      <c r="C107" s="243"/>
      <c r="D107" s="242"/>
      <c r="E107" s="243"/>
      <c r="F107" s="242"/>
      <c r="G107" s="245"/>
      <c r="H107" s="242"/>
      <c r="I107" s="242"/>
      <c r="J107" s="242"/>
      <c r="Z107" s="53"/>
      <c r="AA107" s="53"/>
      <c r="AB107" s="53"/>
      <c r="AC107" s="53"/>
      <c r="AD107" s="53"/>
      <c r="AE107" s="53"/>
    </row>
    <row r="108" spans="1:31" ht="13.5" hidden="1" customHeight="1">
      <c r="A108" s="299"/>
      <c r="B108" s="242"/>
      <c r="C108" s="243"/>
      <c r="D108" s="242"/>
      <c r="E108" s="243"/>
      <c r="F108" s="242"/>
      <c r="G108" s="242"/>
      <c r="H108" s="242"/>
      <c r="I108" s="242"/>
      <c r="J108" s="242"/>
      <c r="Z108" s="53"/>
      <c r="AA108" s="53"/>
      <c r="AB108" s="53"/>
      <c r="AC108" s="53"/>
      <c r="AD108" s="53"/>
      <c r="AE108" s="53"/>
    </row>
    <row r="109" spans="1:31" ht="13.5" hidden="1" customHeight="1">
      <c r="A109" s="302"/>
      <c r="B109" s="242"/>
      <c r="C109" s="242"/>
      <c r="D109" s="242"/>
      <c r="E109" s="242"/>
      <c r="F109" s="242"/>
      <c r="G109" s="242"/>
      <c r="H109" s="242"/>
      <c r="I109" s="242"/>
      <c r="J109" s="244"/>
      <c r="Z109" s="53"/>
      <c r="AA109" s="53"/>
      <c r="AB109" s="53"/>
      <c r="AC109" s="53"/>
      <c r="AD109" s="53"/>
      <c r="AE109" s="53"/>
    </row>
    <row r="110" spans="1:31" ht="13.5" hidden="1" customHeight="1">
      <c r="A110" s="299"/>
      <c r="B110" s="244"/>
      <c r="C110" s="244"/>
      <c r="D110" s="244"/>
      <c r="E110" s="244"/>
      <c r="F110" s="244"/>
      <c r="G110" s="244"/>
      <c r="H110" s="244"/>
      <c r="I110" s="244"/>
      <c r="J110" s="244"/>
      <c r="Z110" s="53"/>
      <c r="AA110" s="53"/>
      <c r="AB110" s="53"/>
      <c r="AC110" s="53"/>
      <c r="AD110" s="53"/>
      <c r="AE110" s="53"/>
    </row>
    <row r="111" spans="1:31" ht="13.5" hidden="1" customHeight="1">
      <c r="A111" s="299"/>
      <c r="B111" s="244"/>
      <c r="C111" s="244"/>
      <c r="D111" s="244"/>
      <c r="E111" s="244"/>
      <c r="F111" s="244"/>
      <c r="G111" s="244"/>
      <c r="H111" s="244"/>
      <c r="I111" s="244"/>
      <c r="J111" s="244"/>
      <c r="Z111" s="53"/>
      <c r="AA111" s="53"/>
      <c r="AB111" s="53"/>
      <c r="AC111" s="53"/>
      <c r="AD111" s="53"/>
      <c r="AE111" s="53"/>
    </row>
    <row r="112" spans="1:31" ht="13.5" hidden="1" customHeight="1">
      <c r="A112" s="299"/>
      <c r="B112" s="244"/>
      <c r="C112" s="244"/>
      <c r="D112" s="244"/>
      <c r="E112" s="244"/>
      <c r="F112" s="244"/>
      <c r="G112" s="244"/>
      <c r="H112" s="244"/>
      <c r="I112" s="244"/>
      <c r="J112" s="244"/>
      <c r="Z112" s="53"/>
      <c r="AA112" s="53"/>
      <c r="AB112" s="53"/>
      <c r="AC112" s="53"/>
      <c r="AD112" s="53"/>
      <c r="AE112" s="53"/>
    </row>
    <row r="113" spans="1:31" ht="13.5" hidden="1" customHeight="1">
      <c r="A113" s="299"/>
      <c r="B113" s="244"/>
      <c r="C113" s="244"/>
      <c r="D113" s="244"/>
      <c r="E113" s="244"/>
      <c r="F113" s="244"/>
      <c r="G113" s="244"/>
      <c r="H113" s="244"/>
      <c r="I113" s="244"/>
      <c r="J113" s="244"/>
      <c r="Z113" s="53"/>
      <c r="AA113" s="53"/>
      <c r="AB113" s="53"/>
      <c r="AC113" s="53"/>
      <c r="AD113" s="53"/>
      <c r="AE113" s="53"/>
    </row>
    <row r="114" spans="1:31" ht="31.5" hidden="1" customHeight="1">
      <c r="A114" s="302"/>
      <c r="B114" s="244"/>
      <c r="C114" s="244"/>
      <c r="D114" s="244"/>
      <c r="E114" s="244"/>
      <c r="F114" s="244"/>
      <c r="G114" s="244"/>
      <c r="H114" s="244"/>
      <c r="I114" s="244"/>
      <c r="J114" s="244"/>
      <c r="Z114" s="53"/>
      <c r="AA114" s="53"/>
      <c r="AB114" s="53"/>
      <c r="AC114" s="53"/>
      <c r="AD114" s="53"/>
      <c r="AE114" s="53"/>
    </row>
    <row r="115" spans="1:31" ht="24.75" customHeight="1">
      <c r="A115" s="302"/>
      <c r="B115" s="244"/>
      <c r="C115" s="244"/>
      <c r="D115" s="244"/>
      <c r="E115" s="244"/>
      <c r="F115" s="244"/>
      <c r="G115" s="244"/>
      <c r="H115" s="244"/>
      <c r="I115" s="244"/>
      <c r="J115" s="244"/>
      <c r="Z115" s="53"/>
      <c r="AA115" s="53"/>
      <c r="AB115" s="53"/>
      <c r="AC115" s="53"/>
      <c r="AD115" s="53"/>
      <c r="AE115" s="53"/>
    </row>
    <row r="116" spans="1:31" ht="15.75" customHeight="1">
      <c r="A116" s="349" t="s">
        <v>108</v>
      </c>
      <c r="B116" s="350" t="s">
        <v>73</v>
      </c>
      <c r="C116" s="353"/>
      <c r="D116" s="353"/>
      <c r="E116" s="353"/>
      <c r="F116" s="353"/>
      <c r="G116" s="353"/>
      <c r="H116" s="353"/>
      <c r="I116" s="353"/>
      <c r="J116" s="355"/>
      <c r="Z116" s="53"/>
      <c r="AA116" s="53"/>
      <c r="AB116" s="53"/>
      <c r="AC116" s="53"/>
      <c r="AD116" s="53"/>
      <c r="AE116" s="53"/>
    </row>
    <row r="117" spans="1:31" ht="13.5" customHeight="1">
      <c r="A117" s="302"/>
      <c r="B117" s="244"/>
      <c r="C117" s="244"/>
      <c r="D117" s="244"/>
      <c r="E117" s="244"/>
      <c r="F117" s="244"/>
      <c r="G117" s="244"/>
      <c r="H117" s="244"/>
      <c r="I117" s="244"/>
      <c r="J117" s="244"/>
      <c r="Z117" s="53"/>
      <c r="AA117" s="53"/>
      <c r="AB117" s="53"/>
      <c r="AC117" s="53"/>
      <c r="AD117" s="53"/>
      <c r="AE117" s="53"/>
    </row>
    <row r="118" spans="1:31" ht="13.5" customHeight="1">
      <c r="A118" s="245"/>
      <c r="B118" s="301"/>
      <c r="C118" s="300"/>
      <c r="D118" s="300"/>
      <c r="E118" s="242"/>
      <c r="F118" s="242"/>
      <c r="G118" s="242"/>
      <c r="H118" s="242"/>
      <c r="I118" s="242"/>
      <c r="J118" s="242"/>
      <c r="K118" s="82"/>
      <c r="U118" s="53"/>
      <c r="V118" s="53"/>
      <c r="Z118" s="53"/>
      <c r="AA118" s="53"/>
      <c r="AB118" s="53"/>
      <c r="AC118" s="53"/>
      <c r="AD118" s="53"/>
      <c r="AE118" s="53"/>
    </row>
    <row r="119" spans="1:31" ht="13.5" customHeight="1">
      <c r="A119" s="242"/>
      <c r="B119" s="333" t="s">
        <v>57</v>
      </c>
      <c r="C119" s="334" t="s">
        <v>72</v>
      </c>
      <c r="D119" s="334"/>
      <c r="E119" s="334"/>
      <c r="F119" s="334"/>
      <c r="G119" s="334"/>
      <c r="H119" s="334"/>
      <c r="I119" s="334"/>
      <c r="J119" s="335"/>
      <c r="K119" s="83"/>
      <c r="U119" s="53"/>
      <c r="V119" s="53"/>
      <c r="Z119" s="53"/>
      <c r="AA119" s="53"/>
      <c r="AB119" s="53"/>
      <c r="AC119" s="53"/>
      <c r="AD119" s="53"/>
      <c r="AE119" s="53"/>
    </row>
    <row r="120" spans="1:31" ht="16.5" thickBot="1">
      <c r="A120" s="242"/>
      <c r="B120" s="333"/>
      <c r="C120" s="321"/>
      <c r="D120" s="334"/>
      <c r="E120" s="334"/>
      <c r="F120" s="334"/>
      <c r="G120" s="334"/>
      <c r="H120" s="334"/>
      <c r="I120" s="334"/>
      <c r="J120" s="335"/>
      <c r="K120" s="83"/>
      <c r="U120" s="53"/>
      <c r="V120" s="53"/>
      <c r="Z120" s="53"/>
      <c r="AA120" s="53"/>
      <c r="AB120" s="53"/>
      <c r="AC120" s="53"/>
      <c r="AD120" s="53"/>
      <c r="AE120" s="53"/>
    </row>
    <row r="121" spans="1:31" ht="19.5" thickBot="1">
      <c r="A121" s="298"/>
      <c r="B121" s="336"/>
      <c r="C121" s="309">
        <f>C69+1</f>
        <v>2</v>
      </c>
      <c r="D121" s="323" t="s">
        <v>68</v>
      </c>
      <c r="E121" s="309">
        <f>E74</f>
        <v>12</v>
      </c>
      <c r="F121" s="323" t="s">
        <v>68</v>
      </c>
      <c r="G121" s="309">
        <f>I99</f>
        <v>62</v>
      </c>
      <c r="H121" s="323" t="s">
        <v>71</v>
      </c>
      <c r="I121" s="315">
        <f>C121*E121*G121/2</f>
        <v>744</v>
      </c>
      <c r="J121" s="338" t="s">
        <v>614</v>
      </c>
      <c r="K121" s="83"/>
      <c r="U121" s="53"/>
      <c r="V121" s="53"/>
      <c r="W121" s="53"/>
      <c r="X121" s="53"/>
      <c r="Y121" s="53"/>
      <c r="Z121" s="53"/>
      <c r="AA121" s="53"/>
      <c r="AB121" s="53"/>
      <c r="AC121" s="53"/>
      <c r="AD121" s="53"/>
      <c r="AE121" s="53"/>
    </row>
    <row r="122" spans="1:31" ht="13.5" customHeight="1">
      <c r="A122" s="298"/>
      <c r="B122" s="336"/>
      <c r="C122" s="335"/>
      <c r="D122" s="323"/>
      <c r="E122" s="335"/>
      <c r="F122" s="323"/>
      <c r="G122" s="335"/>
      <c r="H122" s="323"/>
      <c r="I122" s="335"/>
      <c r="J122" s="338"/>
      <c r="K122" s="83"/>
      <c r="U122" s="53"/>
      <c r="V122" s="53"/>
      <c r="W122" s="53"/>
      <c r="X122" s="53"/>
      <c r="Y122" s="53"/>
      <c r="Z122" s="53"/>
      <c r="AA122" s="53"/>
      <c r="AB122" s="53"/>
      <c r="AC122" s="53"/>
      <c r="AD122" s="53"/>
      <c r="AE122" s="53"/>
    </row>
    <row r="123" spans="1:31" ht="13.5" customHeight="1">
      <c r="A123" s="242"/>
      <c r="B123" s="336"/>
      <c r="C123" s="339" t="s">
        <v>660</v>
      </c>
      <c r="D123" s="323"/>
      <c r="E123" s="323"/>
      <c r="F123" s="323"/>
      <c r="G123" s="323"/>
      <c r="H123" s="323"/>
      <c r="I123" s="323"/>
      <c r="J123" s="338"/>
      <c r="K123" s="83"/>
      <c r="L123" s="7"/>
      <c r="M123" s="7"/>
      <c r="N123" s="7"/>
      <c r="O123" s="7"/>
      <c r="P123" s="7"/>
      <c r="Q123" s="7"/>
      <c r="R123" s="7"/>
      <c r="S123" s="7"/>
      <c r="T123" s="7"/>
      <c r="U123" s="58"/>
      <c r="V123" s="58"/>
      <c r="W123" s="53"/>
      <c r="X123" s="53"/>
      <c r="Y123" s="53"/>
      <c r="Z123" s="53"/>
      <c r="AA123" s="53"/>
      <c r="AB123" s="53"/>
      <c r="AC123" s="53"/>
      <c r="AD123" s="53"/>
      <c r="AE123" s="53"/>
    </row>
    <row r="124" spans="1:31" ht="13.5" customHeight="1">
      <c r="A124" s="242"/>
      <c r="B124" s="336"/>
      <c r="C124" s="341" t="s">
        <v>454</v>
      </c>
      <c r="D124" s="323"/>
      <c r="E124" s="323"/>
      <c r="F124" s="323"/>
      <c r="G124" s="323"/>
      <c r="H124" s="323"/>
      <c r="I124" s="323"/>
      <c r="J124" s="338"/>
      <c r="K124" s="83"/>
      <c r="U124" s="53"/>
      <c r="V124" s="53"/>
      <c r="W124" s="53"/>
      <c r="X124" s="53"/>
      <c r="Y124" s="53"/>
      <c r="Z124" s="53"/>
      <c r="AA124" s="53"/>
      <c r="AB124" s="53"/>
      <c r="AC124" s="53"/>
      <c r="AD124" s="53"/>
      <c r="AE124" s="53"/>
    </row>
    <row r="125" spans="1:31" ht="16.5" thickBot="1">
      <c r="A125" s="242"/>
      <c r="B125" s="336"/>
      <c r="C125" s="341"/>
      <c r="D125" s="323"/>
      <c r="E125" s="323"/>
      <c r="F125" s="323"/>
      <c r="G125" s="323"/>
      <c r="H125" s="323"/>
      <c r="I125" s="323"/>
      <c r="J125" s="338"/>
      <c r="K125" s="83"/>
      <c r="L125" s="53"/>
      <c r="M125" s="53"/>
      <c r="N125" s="53"/>
      <c r="O125" s="53"/>
      <c r="P125" s="53"/>
      <c r="Q125" s="53"/>
      <c r="R125" s="53"/>
      <c r="S125" s="53"/>
      <c r="T125" s="53"/>
      <c r="U125" s="53"/>
      <c r="V125" s="53"/>
      <c r="W125" s="53"/>
      <c r="X125" s="53"/>
      <c r="Y125" s="53"/>
      <c r="Z125" s="53"/>
      <c r="AA125" s="53"/>
      <c r="AB125" s="53"/>
      <c r="AC125" s="53"/>
      <c r="AD125" s="53"/>
      <c r="AE125" s="53"/>
    </row>
    <row r="126" spans="1:31" ht="19.5" thickBot="1">
      <c r="A126" s="242"/>
      <c r="B126" s="336"/>
      <c r="C126" s="309">
        <f>C69</f>
        <v>1</v>
      </c>
      <c r="D126" s="323" t="s">
        <v>70</v>
      </c>
      <c r="E126" s="309">
        <f>G38</f>
        <v>10</v>
      </c>
      <c r="F126" s="323" t="s">
        <v>70</v>
      </c>
      <c r="G126" s="309">
        <f>G121</f>
        <v>62</v>
      </c>
      <c r="H126" s="323" t="s">
        <v>69</v>
      </c>
      <c r="I126" s="315">
        <f>C126*E126*G126</f>
        <v>620</v>
      </c>
      <c r="J126" s="338" t="s">
        <v>614</v>
      </c>
      <c r="K126" s="83"/>
      <c r="U126" s="53"/>
      <c r="V126" s="53"/>
      <c r="W126" s="53"/>
      <c r="X126" s="53"/>
      <c r="Y126" s="53"/>
      <c r="Z126" s="53"/>
      <c r="AA126" s="53"/>
      <c r="AB126" s="53"/>
      <c r="AC126" s="53"/>
      <c r="AD126" s="53"/>
      <c r="AE126" s="53"/>
    </row>
    <row r="127" spans="1:31" s="7" customFormat="1" ht="15.75" customHeight="1">
      <c r="A127" s="242"/>
      <c r="B127" s="336"/>
      <c r="C127" s="335"/>
      <c r="D127" s="323"/>
      <c r="E127" s="335"/>
      <c r="F127" s="323"/>
      <c r="G127" s="335"/>
      <c r="H127" s="323"/>
      <c r="I127" s="335"/>
      <c r="J127" s="338"/>
      <c r="K127" s="83"/>
      <c r="L127" s="1"/>
      <c r="M127" s="1"/>
      <c r="N127" s="1"/>
      <c r="O127" s="1"/>
      <c r="P127" s="1"/>
      <c r="Q127" s="1"/>
      <c r="R127" s="1"/>
      <c r="S127" s="1"/>
      <c r="T127" s="1"/>
      <c r="U127" s="53"/>
      <c r="V127" s="53"/>
      <c r="W127" s="58"/>
      <c r="X127" s="58"/>
      <c r="Y127" s="58"/>
      <c r="Z127" s="58"/>
      <c r="AA127" s="58"/>
      <c r="AB127" s="58"/>
      <c r="AC127" s="58"/>
      <c r="AD127" s="58"/>
      <c r="AE127" s="58"/>
    </row>
    <row r="128" spans="1:31" ht="13.5" customHeight="1">
      <c r="A128" s="298"/>
      <c r="B128" s="336"/>
      <c r="C128" s="342" t="s">
        <v>661</v>
      </c>
      <c r="D128" s="323"/>
      <c r="E128" s="323"/>
      <c r="F128" s="323"/>
      <c r="G128" s="323"/>
      <c r="H128" s="323"/>
      <c r="I128" s="323"/>
      <c r="J128" s="338"/>
      <c r="K128" s="83"/>
      <c r="U128" s="53"/>
      <c r="V128" s="53"/>
      <c r="W128" s="53"/>
      <c r="X128" s="53"/>
      <c r="Y128" s="53"/>
      <c r="Z128" s="53"/>
      <c r="AA128" s="53"/>
      <c r="AB128" s="53"/>
      <c r="AC128" s="53"/>
      <c r="AD128" s="53"/>
      <c r="AE128" s="53"/>
    </row>
    <row r="129" spans="1:31" ht="13.5" customHeight="1">
      <c r="A129" s="298"/>
      <c r="B129" s="336"/>
      <c r="C129" s="443" t="s">
        <v>488</v>
      </c>
      <c r="D129" s="323"/>
      <c r="E129" s="323"/>
      <c r="F129" s="323"/>
      <c r="G129" s="323"/>
      <c r="H129" s="323"/>
      <c r="I129" s="323"/>
      <c r="J129" s="338"/>
      <c r="K129" s="83"/>
      <c r="U129" s="53"/>
      <c r="V129" s="53"/>
      <c r="W129" s="53"/>
      <c r="X129" s="53"/>
      <c r="Y129" s="53"/>
      <c r="Z129" s="53"/>
      <c r="AA129" s="53"/>
      <c r="AB129" s="53"/>
      <c r="AC129" s="53"/>
      <c r="AD129" s="53"/>
      <c r="AE129" s="53"/>
    </row>
    <row r="130" spans="1:31" ht="16.5" customHeight="1" thickBot="1">
      <c r="A130" s="298"/>
      <c r="B130" s="336"/>
      <c r="C130" s="443"/>
      <c r="D130" s="323"/>
      <c r="E130" s="323"/>
      <c r="F130" s="323"/>
      <c r="G130" s="323"/>
      <c r="H130" s="323"/>
      <c r="I130" s="323"/>
      <c r="J130" s="338"/>
      <c r="K130" s="83"/>
      <c r="U130" s="53"/>
      <c r="V130" s="53"/>
      <c r="W130" s="53"/>
      <c r="X130" s="53"/>
      <c r="Y130" s="53"/>
      <c r="Z130" s="53"/>
      <c r="AA130" s="53"/>
      <c r="AB130" s="53"/>
      <c r="AC130" s="53"/>
      <c r="AD130" s="53"/>
      <c r="AE130" s="53"/>
    </row>
    <row r="131" spans="1:31" ht="19.5" thickBot="1">
      <c r="A131" s="242"/>
      <c r="B131" s="336"/>
      <c r="C131" s="309">
        <f>C69+1</f>
        <v>2</v>
      </c>
      <c r="D131" s="323" t="s">
        <v>68</v>
      </c>
      <c r="E131" s="444">
        <f>E74</f>
        <v>12</v>
      </c>
      <c r="F131" s="323" t="s">
        <v>68</v>
      </c>
      <c r="G131" s="309">
        <f>G121</f>
        <v>62</v>
      </c>
      <c r="H131" s="323" t="s">
        <v>67</v>
      </c>
      <c r="I131" s="315">
        <f>C131*E131*G131/2</f>
        <v>744</v>
      </c>
      <c r="J131" s="338" t="s">
        <v>614</v>
      </c>
      <c r="K131" s="83"/>
      <c r="U131" s="53"/>
      <c r="V131" s="53"/>
      <c r="W131" s="53"/>
      <c r="X131" s="53"/>
      <c r="Y131" s="53"/>
      <c r="Z131" s="53"/>
      <c r="AA131" s="53"/>
      <c r="AB131" s="53"/>
      <c r="AC131" s="53"/>
      <c r="AD131" s="53"/>
      <c r="AE131" s="53"/>
    </row>
    <row r="132" spans="1:31" ht="18" customHeight="1" thickBot="1">
      <c r="A132" s="242"/>
      <c r="B132" s="336"/>
      <c r="C132" s="335"/>
      <c r="D132" s="323"/>
      <c r="E132" s="343"/>
      <c r="F132" s="323"/>
      <c r="G132" s="335"/>
      <c r="H132" s="323"/>
      <c r="I132" s="335"/>
      <c r="J132" s="338"/>
      <c r="U132" s="53"/>
      <c r="V132" s="53"/>
      <c r="W132" s="53"/>
      <c r="X132" s="53"/>
      <c r="Y132" s="53"/>
      <c r="Z132" s="53"/>
      <c r="AA132" s="53"/>
      <c r="AB132" s="53"/>
      <c r="AC132" s="53"/>
      <c r="AD132" s="53"/>
      <c r="AE132" s="53"/>
    </row>
    <row r="133" spans="1:31" ht="16.5" customHeight="1" thickBot="1">
      <c r="A133" s="242"/>
      <c r="B133" s="336"/>
      <c r="C133" s="242"/>
      <c r="D133" s="242"/>
      <c r="E133" s="242"/>
      <c r="F133" s="242"/>
      <c r="G133" s="344" t="s">
        <v>66</v>
      </c>
      <c r="H133" s="323" t="s">
        <v>65</v>
      </c>
      <c r="I133" s="315">
        <f>I121+I126+I131</f>
        <v>2108</v>
      </c>
      <c r="J133" s="335" t="s">
        <v>614</v>
      </c>
      <c r="U133" s="53"/>
      <c r="V133" s="53"/>
      <c r="W133" s="53"/>
      <c r="X133" s="53"/>
      <c r="Y133" s="53"/>
      <c r="Z133" s="53"/>
      <c r="AA133" s="53"/>
      <c r="AB133" s="53"/>
      <c r="AC133" s="53"/>
      <c r="AD133" s="53"/>
      <c r="AE133" s="53"/>
    </row>
    <row r="134" spans="1:31" ht="10.5" customHeight="1">
      <c r="A134" s="242"/>
      <c r="B134" s="336"/>
      <c r="C134" s="445"/>
      <c r="D134" s="323"/>
      <c r="E134" s="335"/>
      <c r="F134" s="335"/>
      <c r="G134" s="335"/>
      <c r="H134" s="323"/>
      <c r="I134" s="335"/>
      <c r="J134" s="338"/>
      <c r="M134" s="53"/>
      <c r="N134" s="53"/>
      <c r="O134" s="53"/>
      <c r="P134" s="53"/>
      <c r="Q134" s="53"/>
      <c r="R134" s="53"/>
      <c r="U134" s="53"/>
      <c r="V134" s="53"/>
      <c r="W134" s="53"/>
      <c r="X134" s="53"/>
      <c r="Y134" s="53"/>
      <c r="Z134" s="53"/>
      <c r="AA134" s="53"/>
      <c r="AB134" s="53"/>
      <c r="AC134" s="53"/>
      <c r="AD134" s="53"/>
      <c r="AE134" s="53"/>
    </row>
    <row r="135" spans="1:31" ht="23.25" customHeight="1">
      <c r="A135" s="242"/>
      <c r="B135" s="320" t="s">
        <v>64</v>
      </c>
      <c r="C135" s="334" t="s">
        <v>456</v>
      </c>
      <c r="D135" s="323"/>
      <c r="E135" s="323"/>
      <c r="F135" s="323"/>
      <c r="G135" s="323"/>
      <c r="H135" s="323"/>
      <c r="I135" s="335"/>
      <c r="J135" s="335"/>
      <c r="L135" s="53"/>
      <c r="M135" s="53"/>
      <c r="N135" s="53"/>
      <c r="O135" s="53"/>
      <c r="P135" s="53"/>
      <c r="Q135" s="53"/>
      <c r="R135" s="53"/>
      <c r="S135" s="53"/>
      <c r="T135" s="53"/>
      <c r="U135" s="53"/>
      <c r="V135" s="53"/>
      <c r="W135" s="53"/>
      <c r="X135" s="53"/>
      <c r="Y135" s="53"/>
      <c r="Z135" s="53"/>
      <c r="AA135" s="53"/>
      <c r="AB135" s="53"/>
      <c r="AC135" s="53"/>
      <c r="AD135" s="53"/>
      <c r="AE135" s="53"/>
    </row>
    <row r="136" spans="1:31" ht="22.5" customHeight="1">
      <c r="A136" s="242"/>
      <c r="B136" s="320"/>
      <c r="C136" s="337" t="s">
        <v>455</v>
      </c>
      <c r="D136" s="323"/>
      <c r="E136" s="323"/>
      <c r="F136" s="323"/>
      <c r="G136" s="323"/>
      <c r="H136" s="323"/>
      <c r="I136" s="335"/>
      <c r="J136" s="335"/>
      <c r="K136" s="83"/>
      <c r="L136" s="53"/>
      <c r="M136" s="53"/>
      <c r="N136" s="53"/>
      <c r="O136" s="53"/>
      <c r="P136" s="53"/>
      <c r="Q136" s="53"/>
      <c r="R136" s="53"/>
      <c r="S136" s="53"/>
      <c r="T136" s="53"/>
      <c r="U136" s="53"/>
      <c r="V136" s="53"/>
      <c r="W136" s="53"/>
      <c r="X136" s="53"/>
      <c r="Y136" s="53"/>
      <c r="Z136" s="53"/>
      <c r="AA136" s="53"/>
      <c r="AB136" s="53"/>
      <c r="AC136" s="53"/>
      <c r="AD136" s="53"/>
      <c r="AE136" s="53"/>
    </row>
    <row r="137" spans="1:31" ht="13.5" customHeight="1" thickBot="1">
      <c r="A137" s="242"/>
      <c r="B137" s="320"/>
      <c r="C137" s="337"/>
      <c r="D137" s="323"/>
      <c r="E137" s="323"/>
      <c r="F137" s="323"/>
      <c r="G137" s="323"/>
      <c r="H137" s="323"/>
      <c r="I137" s="335"/>
      <c r="J137" s="335"/>
      <c r="K137" s="83"/>
      <c r="L137" s="53"/>
      <c r="M137" s="53"/>
      <c r="N137" s="53"/>
      <c r="O137" s="53"/>
      <c r="P137" s="53"/>
      <c r="Q137" s="53"/>
      <c r="R137" s="53"/>
      <c r="S137" s="53"/>
      <c r="T137" s="53"/>
      <c r="U137" s="53"/>
      <c r="V137" s="53"/>
      <c r="W137" s="53"/>
      <c r="X137" s="53"/>
      <c r="Y137" s="53"/>
      <c r="Z137" s="53"/>
      <c r="AA137" s="53"/>
      <c r="AB137" s="53"/>
      <c r="AC137" s="53"/>
      <c r="AD137" s="53"/>
      <c r="AE137" s="53"/>
    </row>
    <row r="138" spans="1:31" ht="18" customHeight="1" thickBot="1">
      <c r="A138" s="298"/>
      <c r="B138" s="325"/>
      <c r="C138" s="325"/>
      <c r="D138" s="309">
        <f>I133</f>
        <v>2108</v>
      </c>
      <c r="E138" s="323" t="s">
        <v>441</v>
      </c>
      <c r="F138" s="589">
        <f>D138/27</f>
        <v>78.074074074074076</v>
      </c>
      <c r="G138" s="321" t="s">
        <v>617</v>
      </c>
      <c r="H138" s="323"/>
      <c r="I138" s="323"/>
      <c r="J138" s="335"/>
      <c r="K138" s="83"/>
      <c r="L138" s="53"/>
      <c r="M138" s="53"/>
      <c r="N138" s="53"/>
      <c r="O138" s="53"/>
      <c r="P138" s="53"/>
      <c r="Q138" s="53"/>
      <c r="R138" s="53"/>
      <c r="S138" s="53"/>
      <c r="T138" s="53"/>
      <c r="U138" s="53"/>
      <c r="V138" s="53"/>
      <c r="W138" s="53"/>
      <c r="X138" s="53"/>
      <c r="Y138" s="53"/>
      <c r="Z138" s="53"/>
      <c r="AA138" s="53"/>
      <c r="AB138" s="53"/>
      <c r="AC138" s="53"/>
      <c r="AD138" s="53"/>
      <c r="AE138" s="53"/>
    </row>
    <row r="139" spans="1:31" ht="13.5" customHeight="1">
      <c r="A139" s="298"/>
      <c r="B139" s="325"/>
      <c r="C139" s="325"/>
      <c r="D139" s="335"/>
      <c r="E139" s="323"/>
      <c r="F139" s="335"/>
      <c r="G139" s="321"/>
      <c r="H139" s="323"/>
      <c r="I139" s="323"/>
      <c r="J139" s="335"/>
      <c r="K139" s="83"/>
      <c r="L139" s="53"/>
      <c r="M139" s="53"/>
      <c r="N139" s="53"/>
      <c r="O139" s="53"/>
      <c r="P139" s="53"/>
      <c r="Q139" s="53"/>
      <c r="R139" s="53"/>
      <c r="S139" s="53"/>
      <c r="T139" s="53"/>
      <c r="U139" s="53"/>
      <c r="V139" s="53"/>
      <c r="W139" s="53"/>
      <c r="X139" s="53"/>
      <c r="Y139" s="53"/>
      <c r="Z139" s="53"/>
      <c r="AA139" s="53"/>
      <c r="AB139" s="53"/>
      <c r="AC139" s="53"/>
      <c r="AD139" s="53"/>
      <c r="AE139" s="53"/>
    </row>
    <row r="140" spans="1:31" ht="13.5" customHeight="1">
      <c r="A140" s="242"/>
      <c r="B140" s="345" t="s">
        <v>63</v>
      </c>
      <c r="C140" s="339" t="s">
        <v>662</v>
      </c>
      <c r="D140" s="335"/>
      <c r="E140" s="323"/>
      <c r="F140" s="335"/>
      <c r="G140" s="321"/>
      <c r="H140" s="321"/>
      <c r="I140" s="321"/>
      <c r="J140" s="335"/>
      <c r="K140" s="83"/>
      <c r="L140" s="53"/>
      <c r="M140" s="53"/>
      <c r="N140" s="53"/>
      <c r="O140" s="53"/>
      <c r="P140" s="53"/>
      <c r="Q140" s="53"/>
      <c r="R140" s="53"/>
      <c r="S140" s="53"/>
      <c r="T140" s="53"/>
      <c r="U140" s="53"/>
      <c r="V140" s="53"/>
      <c r="W140" s="53"/>
      <c r="X140" s="53"/>
      <c r="Y140" s="53"/>
      <c r="Z140" s="53"/>
      <c r="AA140" s="53"/>
      <c r="AB140" s="53"/>
      <c r="AC140" s="53"/>
      <c r="AD140" s="53"/>
      <c r="AE140" s="53"/>
    </row>
    <row r="141" spans="1:31" ht="16.5" customHeight="1">
      <c r="A141" s="242"/>
      <c r="B141" s="345"/>
      <c r="C141" s="341" t="s">
        <v>489</v>
      </c>
      <c r="D141" s="335"/>
      <c r="E141" s="323"/>
      <c r="F141" s="335"/>
      <c r="G141" s="321"/>
      <c r="H141" s="321"/>
      <c r="I141" s="321"/>
      <c r="J141" s="335"/>
      <c r="K141" s="83"/>
      <c r="L141" s="53"/>
      <c r="M141" s="53"/>
      <c r="N141" s="53"/>
      <c r="O141" s="53"/>
      <c r="P141" s="53"/>
      <c r="Q141" s="53"/>
      <c r="R141" s="53"/>
      <c r="S141" s="53"/>
      <c r="T141" s="53"/>
      <c r="U141" s="53"/>
      <c r="V141" s="53"/>
      <c r="W141" s="53"/>
      <c r="X141" s="53"/>
      <c r="Y141" s="53"/>
      <c r="Z141" s="53"/>
      <c r="AA141" s="53"/>
      <c r="AB141" s="53"/>
      <c r="AC141" s="53"/>
      <c r="AD141" s="53"/>
      <c r="AE141" s="53"/>
    </row>
    <row r="142" spans="1:31" ht="13.5" customHeight="1" thickBot="1">
      <c r="A142" s="242"/>
      <c r="B142" s="345"/>
      <c r="C142" s="339"/>
      <c r="D142" s="335"/>
      <c r="E142" s="323"/>
      <c r="F142" s="335"/>
      <c r="G142" s="321"/>
      <c r="H142" s="321"/>
      <c r="I142" s="321"/>
      <c r="J142" s="335"/>
      <c r="K142" s="83"/>
      <c r="L142" s="53"/>
      <c r="M142" s="53"/>
      <c r="N142" s="53"/>
      <c r="O142" s="53"/>
      <c r="P142" s="53"/>
      <c r="Q142" s="53"/>
      <c r="R142" s="53"/>
      <c r="S142" s="53"/>
      <c r="T142" s="53"/>
      <c r="U142" s="53"/>
      <c r="V142" s="53"/>
      <c r="W142" s="53"/>
      <c r="X142" s="53"/>
      <c r="Y142" s="53"/>
      <c r="Z142" s="53"/>
      <c r="AA142" s="53"/>
      <c r="AB142" s="53"/>
      <c r="AC142" s="53"/>
      <c r="AD142" s="53"/>
      <c r="AE142" s="53"/>
    </row>
    <row r="143" spans="1:31" ht="18" customHeight="1" thickBot="1">
      <c r="A143" s="242"/>
      <c r="B143" s="325"/>
      <c r="C143" s="325"/>
      <c r="D143" s="309">
        <f>F138</f>
        <v>78.074074074074076</v>
      </c>
      <c r="E143" s="323" t="s">
        <v>663</v>
      </c>
      <c r="F143" s="315">
        <f>D143*1.4</f>
        <v>109.3037037037037</v>
      </c>
      <c r="G143" s="321" t="s">
        <v>60</v>
      </c>
      <c r="H143" s="321"/>
      <c r="I143" s="321"/>
      <c r="J143" s="335"/>
      <c r="K143" s="82"/>
      <c r="L143" s="53"/>
      <c r="M143" s="53"/>
      <c r="N143" s="53"/>
      <c r="O143" s="53"/>
      <c r="P143" s="53"/>
      <c r="Q143" s="53"/>
      <c r="R143" s="53"/>
      <c r="S143" s="53"/>
      <c r="T143" s="53"/>
      <c r="U143" s="53"/>
      <c r="V143" s="53"/>
      <c r="W143" s="53"/>
      <c r="X143" s="53"/>
      <c r="Y143" s="53"/>
      <c r="Z143" s="53"/>
      <c r="AA143" s="53"/>
      <c r="AB143" s="53"/>
      <c r="AC143" s="53"/>
      <c r="AD143" s="53"/>
      <c r="AE143" s="53"/>
    </row>
    <row r="144" spans="1:31" ht="13.5" customHeight="1">
      <c r="A144" s="242"/>
      <c r="B144" s="325"/>
      <c r="C144" s="325"/>
      <c r="D144" s="335"/>
      <c r="E144" s="323"/>
      <c r="F144" s="335"/>
      <c r="G144" s="321"/>
      <c r="H144" s="321"/>
      <c r="I144" s="321"/>
      <c r="J144" s="335"/>
      <c r="K144" s="82"/>
      <c r="L144" s="53"/>
      <c r="M144" s="53"/>
      <c r="N144" s="53"/>
      <c r="O144" s="53"/>
      <c r="P144" s="53"/>
      <c r="Q144" s="53"/>
      <c r="R144" s="53"/>
      <c r="S144" s="53"/>
      <c r="T144" s="53"/>
      <c r="U144" s="53"/>
      <c r="V144" s="53"/>
      <c r="W144" s="53"/>
      <c r="X144" s="53"/>
      <c r="Y144" s="53"/>
      <c r="Z144" s="53"/>
      <c r="AA144" s="53"/>
      <c r="AB144" s="53"/>
      <c r="AC144" s="53"/>
      <c r="AD144" s="53"/>
      <c r="AE144" s="53"/>
    </row>
    <row r="145" spans="1:31" ht="13.5" customHeight="1">
      <c r="A145" s="242"/>
      <c r="B145" s="249">
        <v>4</v>
      </c>
      <c r="C145" s="298" t="s">
        <v>62</v>
      </c>
      <c r="D145" s="298"/>
      <c r="E145" s="298"/>
      <c r="F145" s="298"/>
      <c r="G145" s="298"/>
      <c r="H145" s="321"/>
      <c r="I145" s="321"/>
      <c r="J145" s="335"/>
      <c r="K145" s="82"/>
      <c r="L145" s="53"/>
      <c r="M145" s="53"/>
      <c r="N145" s="53"/>
      <c r="O145" s="53"/>
      <c r="P145" s="53"/>
      <c r="Q145" s="53"/>
      <c r="R145" s="53"/>
      <c r="S145" s="53"/>
      <c r="T145" s="53"/>
      <c r="U145" s="53"/>
      <c r="V145" s="53"/>
      <c r="W145" s="53"/>
      <c r="X145" s="53"/>
      <c r="Y145" s="53"/>
      <c r="Z145" s="53"/>
      <c r="AA145" s="53"/>
      <c r="AB145" s="53"/>
      <c r="AC145" s="53"/>
      <c r="AD145" s="53"/>
      <c r="AE145" s="53"/>
    </row>
    <row r="146" spans="1:31" ht="16.5" customHeight="1" thickBot="1">
      <c r="A146" s="242"/>
      <c r="B146" s="249"/>
      <c r="C146" s="242"/>
      <c r="D146" s="298"/>
      <c r="E146" s="298"/>
      <c r="F146" s="298"/>
      <c r="G146" s="298"/>
      <c r="H146" s="321"/>
      <c r="I146" s="321"/>
      <c r="J146" s="335"/>
      <c r="K146" s="82"/>
      <c r="L146" s="53"/>
      <c r="M146" s="53"/>
      <c r="N146" s="53"/>
      <c r="O146" s="53"/>
      <c r="P146" s="53"/>
      <c r="Q146" s="53"/>
      <c r="R146" s="53"/>
      <c r="S146" s="53"/>
      <c r="T146" s="53"/>
      <c r="U146" s="53"/>
      <c r="V146" s="53"/>
      <c r="W146" s="53"/>
      <c r="X146" s="53"/>
      <c r="Y146" s="53"/>
      <c r="Z146" s="53"/>
      <c r="AA146" s="53"/>
      <c r="AB146" s="53"/>
      <c r="AC146" s="53"/>
      <c r="AD146" s="53"/>
      <c r="AE146" s="53"/>
    </row>
    <row r="147" spans="1:31" ht="16.5" customHeight="1" thickBot="1">
      <c r="A147" s="298"/>
      <c r="B147" s="298"/>
      <c r="C147" s="298"/>
      <c r="D147" s="309">
        <f>F143</f>
        <v>109.3037037037037</v>
      </c>
      <c r="E147" s="242" t="s">
        <v>61</v>
      </c>
      <c r="F147" s="315">
        <f>D147*1.1</f>
        <v>120.23407407407409</v>
      </c>
      <c r="G147" s="242" t="s">
        <v>60</v>
      </c>
      <c r="H147" s="298"/>
      <c r="I147" s="298"/>
      <c r="J147" s="298"/>
      <c r="K147" s="82"/>
      <c r="L147" s="53"/>
      <c r="M147" s="53"/>
      <c r="N147" s="53"/>
      <c r="O147" s="53"/>
      <c r="P147" s="53"/>
      <c r="Q147" s="53"/>
      <c r="R147" s="53"/>
      <c r="S147" s="53"/>
      <c r="T147" s="53"/>
      <c r="U147" s="53"/>
      <c r="V147" s="53"/>
      <c r="W147" s="53"/>
      <c r="X147" s="53"/>
      <c r="Y147" s="53"/>
      <c r="Z147" s="53"/>
      <c r="AA147" s="53"/>
      <c r="AB147" s="53"/>
      <c r="AC147" s="53"/>
      <c r="AD147" s="53"/>
      <c r="AE147" s="53"/>
    </row>
    <row r="148" spans="1:31" ht="12" customHeight="1">
      <c r="A148" s="298"/>
      <c r="B148" s="298"/>
      <c r="C148" s="298"/>
      <c r="D148" s="298"/>
      <c r="E148" s="298"/>
      <c r="F148" s="298"/>
      <c r="G148" s="298"/>
      <c r="H148" s="298"/>
      <c r="I148" s="298"/>
      <c r="J148" s="298"/>
      <c r="K148" s="58"/>
      <c r="L148" s="53"/>
      <c r="M148" s="53"/>
      <c r="N148" s="53"/>
      <c r="O148" s="53"/>
      <c r="P148" s="53"/>
      <c r="Q148" s="53"/>
      <c r="R148" s="53"/>
      <c r="S148" s="53"/>
      <c r="T148" s="53"/>
      <c r="U148" s="53"/>
      <c r="V148" s="53"/>
      <c r="W148" s="53"/>
      <c r="X148" s="53"/>
      <c r="Y148" s="53"/>
      <c r="Z148" s="53"/>
      <c r="AA148" s="53"/>
      <c r="AB148" s="53"/>
      <c r="AC148" s="53"/>
      <c r="AD148" s="53"/>
      <c r="AE148" s="53"/>
    </row>
    <row r="149" spans="1:31" ht="13.5" hidden="1" customHeight="1">
      <c r="A149" s="298"/>
      <c r="B149" s="242"/>
      <c r="C149" s="242"/>
      <c r="D149" s="242"/>
      <c r="E149" s="242"/>
      <c r="F149" s="242"/>
      <c r="G149" s="242"/>
      <c r="H149" s="242"/>
      <c r="I149" s="242"/>
      <c r="J149" s="242"/>
      <c r="K149" s="53"/>
      <c r="L149" s="53"/>
      <c r="M149" s="53"/>
      <c r="N149" s="53"/>
      <c r="O149" s="53"/>
      <c r="P149" s="53"/>
      <c r="Q149" s="53"/>
      <c r="R149" s="53"/>
      <c r="S149" s="53"/>
      <c r="T149" s="53"/>
      <c r="U149" s="53"/>
      <c r="V149" s="53"/>
      <c r="W149" s="53"/>
      <c r="X149" s="53"/>
      <c r="Y149" s="53"/>
      <c r="Z149" s="53"/>
      <c r="AA149" s="53"/>
      <c r="AB149" s="53"/>
      <c r="AC149" s="53"/>
      <c r="AD149" s="53"/>
      <c r="AE149" s="53"/>
    </row>
    <row r="150" spans="1:31" ht="6.75" customHeight="1">
      <c r="A150" s="298"/>
      <c r="B150" s="298"/>
      <c r="C150" s="298"/>
      <c r="D150" s="298"/>
      <c r="E150" s="298"/>
      <c r="F150" s="298"/>
      <c r="G150" s="298"/>
      <c r="H150" s="298"/>
      <c r="I150" s="242"/>
      <c r="J150" s="298"/>
      <c r="L150" s="53"/>
      <c r="M150" s="53"/>
      <c r="N150" s="53"/>
      <c r="O150" s="53"/>
      <c r="P150" s="53"/>
      <c r="Q150" s="53"/>
      <c r="R150" s="53"/>
      <c r="S150" s="53"/>
      <c r="T150" s="53"/>
      <c r="U150" s="53"/>
      <c r="V150" s="53"/>
      <c r="W150" s="53"/>
      <c r="X150" s="53"/>
      <c r="Y150" s="53"/>
      <c r="Z150" s="53"/>
      <c r="AA150" s="53"/>
      <c r="AB150" s="53"/>
      <c r="AC150" s="53"/>
      <c r="AD150" s="53"/>
      <c r="AE150" s="53"/>
    </row>
    <row r="151" spans="1:31" ht="15.75" customHeight="1">
      <c r="A151" s="349" t="s">
        <v>74</v>
      </c>
      <c r="B151" s="350" t="s">
        <v>116</v>
      </c>
      <c r="C151" s="350"/>
      <c r="D151" s="350"/>
      <c r="E151" s="350"/>
      <c r="F151" s="350"/>
      <c r="G151" s="350"/>
      <c r="H151" s="350"/>
      <c r="I151" s="350"/>
      <c r="J151" s="355"/>
      <c r="L151" s="53"/>
      <c r="M151" s="53"/>
      <c r="N151" s="53"/>
      <c r="O151" s="53"/>
      <c r="P151" s="53"/>
      <c r="Q151" s="53"/>
      <c r="R151" s="53"/>
      <c r="S151" s="53"/>
      <c r="T151" s="53"/>
      <c r="U151" s="53"/>
      <c r="V151" s="53"/>
      <c r="W151" s="53"/>
      <c r="X151" s="53"/>
      <c r="Y151" s="53"/>
      <c r="Z151" s="53"/>
      <c r="AA151" s="53"/>
      <c r="AB151" s="53"/>
      <c r="AC151" s="53"/>
      <c r="AD151" s="53"/>
      <c r="AE151" s="53"/>
    </row>
    <row r="152" spans="1:31" ht="19.5" customHeight="1">
      <c r="A152" s="301"/>
      <c r="B152" s="300"/>
      <c r="C152" s="300"/>
      <c r="D152" s="300"/>
      <c r="E152" s="300"/>
      <c r="F152" s="300"/>
      <c r="G152" s="300"/>
      <c r="H152" s="300"/>
      <c r="I152" s="300"/>
      <c r="J152" s="242"/>
      <c r="W152" s="53"/>
      <c r="X152" s="53"/>
      <c r="Y152" s="53"/>
      <c r="Z152" s="53"/>
      <c r="AA152" s="53"/>
      <c r="AB152" s="53"/>
      <c r="AC152" s="53"/>
      <c r="AD152" s="53"/>
      <c r="AE152" s="53"/>
    </row>
    <row r="153" spans="1:31" ht="15.75">
      <c r="A153" s="308" t="s">
        <v>57</v>
      </c>
      <c r="B153" s="300" t="s">
        <v>443</v>
      </c>
      <c r="C153" s="244"/>
      <c r="D153" s="244"/>
      <c r="E153" s="244"/>
      <c r="F153" s="244"/>
      <c r="G153" s="244"/>
      <c r="H153" s="244"/>
      <c r="I153" s="244"/>
      <c r="J153" s="242"/>
      <c r="W153" s="53"/>
      <c r="X153" s="53"/>
      <c r="Y153" s="53"/>
      <c r="Z153" s="53"/>
      <c r="AA153" s="53"/>
      <c r="AB153" s="53"/>
      <c r="AC153" s="53"/>
      <c r="AD153" s="53"/>
      <c r="AE153" s="53"/>
    </row>
    <row r="154" spans="1:31" ht="13.5" customHeight="1">
      <c r="A154" s="308"/>
      <c r="B154" s="314" t="s">
        <v>465</v>
      </c>
      <c r="C154" s="244"/>
      <c r="D154" s="244"/>
      <c r="E154" s="244"/>
      <c r="F154" s="244"/>
      <c r="G154" s="244"/>
      <c r="H154" s="244"/>
      <c r="I154" s="244"/>
      <c r="J154" s="242"/>
      <c r="W154" s="53"/>
      <c r="X154" s="53"/>
      <c r="Y154" s="53"/>
      <c r="Z154" s="53"/>
      <c r="AA154" s="53"/>
      <c r="AB154" s="53"/>
      <c r="AC154" s="53"/>
      <c r="AD154" s="53"/>
      <c r="AE154" s="53"/>
    </row>
    <row r="155" spans="1:31" ht="15.75" thickBot="1">
      <c r="A155" s="308"/>
      <c r="B155" s="244"/>
      <c r="C155" s="244"/>
      <c r="D155" s="244"/>
      <c r="E155" s="244"/>
      <c r="F155" s="244"/>
      <c r="G155" s="244"/>
      <c r="H155" s="244"/>
      <c r="I155" s="244"/>
      <c r="J155" s="242"/>
      <c r="W155" s="53"/>
      <c r="X155" s="53"/>
      <c r="Y155" s="53"/>
      <c r="Z155" s="53"/>
      <c r="AA155" s="53"/>
      <c r="AB155" s="53"/>
      <c r="AC155" s="53"/>
      <c r="AD155" s="53"/>
      <c r="AE155" s="53"/>
    </row>
    <row r="156" spans="1:31" ht="19.5" thickBot="1">
      <c r="A156" s="308"/>
      <c r="B156" s="244"/>
      <c r="C156" s="306">
        <f>F33</f>
        <v>380</v>
      </c>
      <c r="D156" s="245" t="s">
        <v>115</v>
      </c>
      <c r="E156" s="375">
        <v>1</v>
      </c>
      <c r="F156" s="244" t="s">
        <v>79</v>
      </c>
      <c r="G156" s="315">
        <f>C156/E156</f>
        <v>380</v>
      </c>
      <c r="H156" s="244" t="s">
        <v>614</v>
      </c>
      <c r="I156" s="244"/>
      <c r="J156" s="242"/>
      <c r="L156" s="53"/>
      <c r="M156" s="53"/>
      <c r="N156" s="53"/>
      <c r="O156" s="53"/>
      <c r="P156" s="53"/>
      <c r="Q156" s="53"/>
      <c r="R156" s="53"/>
      <c r="S156" s="53"/>
      <c r="T156" s="53"/>
      <c r="U156" s="53"/>
      <c r="V156" s="53"/>
      <c r="W156" s="53"/>
      <c r="X156" s="53"/>
      <c r="Y156" s="53"/>
      <c r="Z156" s="53"/>
      <c r="AA156" s="53"/>
      <c r="AB156" s="53"/>
      <c r="AC156" s="53"/>
      <c r="AD156" s="53"/>
      <c r="AE156" s="53"/>
    </row>
    <row r="157" spans="1:31" ht="15.75" customHeight="1">
      <c r="A157" s="308"/>
      <c r="B157" s="244"/>
      <c r="C157" s="244"/>
      <c r="D157" s="244"/>
      <c r="E157" s="259" t="s">
        <v>444</v>
      </c>
      <c r="F157" s="244"/>
      <c r="G157" s="244"/>
      <c r="H157" s="244"/>
      <c r="I157" s="244"/>
      <c r="J157" s="242"/>
      <c r="L157" s="53"/>
      <c r="M157" s="53"/>
      <c r="N157" s="53"/>
      <c r="O157" s="53"/>
      <c r="P157" s="53"/>
      <c r="Q157" s="53"/>
      <c r="R157" s="53"/>
      <c r="S157" s="53"/>
      <c r="T157" s="53"/>
      <c r="U157" s="53"/>
      <c r="V157" s="53"/>
      <c r="W157" s="53"/>
      <c r="X157" s="53"/>
      <c r="Y157" s="53"/>
      <c r="Z157" s="53"/>
      <c r="AA157" s="53"/>
      <c r="AB157" s="53"/>
      <c r="AC157" s="53"/>
      <c r="AD157" s="53"/>
      <c r="AE157" s="53"/>
    </row>
    <row r="158" spans="1:31" ht="15.75">
      <c r="A158" s="308"/>
      <c r="B158" s="244"/>
      <c r="C158" s="244"/>
      <c r="D158" s="244"/>
      <c r="E158" s="259"/>
      <c r="F158" s="244"/>
      <c r="G158" s="244"/>
      <c r="H158" s="244"/>
      <c r="I158" s="244"/>
      <c r="J158" s="242"/>
      <c r="L158" s="53"/>
      <c r="M158" s="53"/>
      <c r="N158" s="53"/>
      <c r="O158" s="53"/>
      <c r="P158" s="53"/>
      <c r="Q158" s="53"/>
      <c r="R158" s="53"/>
      <c r="S158" s="53"/>
      <c r="T158" s="53"/>
      <c r="U158" s="53"/>
      <c r="V158" s="53"/>
      <c r="W158" s="53"/>
      <c r="X158" s="53"/>
      <c r="Y158" s="53"/>
      <c r="Z158" s="53"/>
      <c r="AA158" s="53"/>
      <c r="AB158" s="53"/>
      <c r="AC158" s="53"/>
      <c r="AD158" s="53"/>
      <c r="AE158" s="53"/>
    </row>
    <row r="159" spans="1:31" ht="14.25" customHeight="1">
      <c r="A159" s="308" t="s">
        <v>64</v>
      </c>
      <c r="B159" s="300" t="s">
        <v>456</v>
      </c>
      <c r="C159" s="244"/>
      <c r="D159" s="244"/>
      <c r="E159" s="244"/>
      <c r="F159" s="244"/>
      <c r="G159" s="244"/>
      <c r="H159" s="244"/>
      <c r="I159" s="244"/>
      <c r="J159" s="242"/>
      <c r="L159" s="53"/>
      <c r="M159" s="53"/>
      <c r="N159" s="53"/>
      <c r="O159" s="53"/>
      <c r="P159" s="53"/>
      <c r="Q159" s="53"/>
      <c r="R159" s="53"/>
      <c r="S159" s="53"/>
      <c r="T159" s="53"/>
      <c r="U159" s="53"/>
      <c r="V159" s="53"/>
      <c r="W159" s="53"/>
      <c r="X159" s="53"/>
      <c r="Y159" s="53"/>
      <c r="Z159" s="53"/>
      <c r="AA159" s="53"/>
      <c r="AB159" s="53"/>
      <c r="AC159" s="53"/>
      <c r="AD159" s="53"/>
      <c r="AE159" s="53"/>
    </row>
    <row r="160" spans="1:31" ht="13.5" customHeight="1">
      <c r="A160" s="308"/>
      <c r="B160" s="244" t="s">
        <v>455</v>
      </c>
      <c r="C160" s="244"/>
      <c r="D160" s="244"/>
      <c r="E160" s="244"/>
      <c r="F160" s="244"/>
      <c r="G160" s="244"/>
      <c r="H160" s="244"/>
      <c r="I160" s="244"/>
      <c r="J160" s="242"/>
      <c r="L160" s="53"/>
      <c r="M160" s="53"/>
      <c r="N160" s="53"/>
      <c r="O160" s="53"/>
      <c r="P160" s="53"/>
      <c r="Q160" s="53"/>
      <c r="R160" s="53"/>
      <c r="S160" s="53"/>
      <c r="T160" s="53"/>
      <c r="U160" s="53"/>
      <c r="V160" s="53"/>
      <c r="W160" s="53"/>
      <c r="X160" s="53"/>
      <c r="Y160" s="53"/>
      <c r="Z160" s="53"/>
      <c r="AA160" s="53"/>
      <c r="AB160" s="53"/>
      <c r="AC160" s="53"/>
      <c r="AD160" s="53"/>
      <c r="AE160" s="53"/>
    </row>
    <row r="161" spans="1:31" ht="13.5" customHeight="1" thickBot="1">
      <c r="A161" s="308"/>
      <c r="B161" s="244"/>
      <c r="C161" s="244"/>
      <c r="D161" s="244"/>
      <c r="E161" s="244"/>
      <c r="F161" s="244"/>
      <c r="G161" s="244"/>
      <c r="H161" s="244"/>
      <c r="I161" s="244"/>
      <c r="J161" s="242"/>
      <c r="L161" s="53"/>
      <c r="M161" s="53"/>
      <c r="N161" s="53"/>
      <c r="O161" s="53"/>
      <c r="P161" s="53"/>
      <c r="Q161" s="53"/>
      <c r="R161" s="53"/>
      <c r="S161" s="53"/>
      <c r="T161" s="53"/>
      <c r="U161" s="53"/>
      <c r="V161" s="53"/>
      <c r="W161" s="53"/>
      <c r="X161" s="53"/>
      <c r="Y161" s="53"/>
      <c r="Z161" s="53"/>
      <c r="AA161" s="53"/>
      <c r="AB161" s="53"/>
      <c r="AC161" s="53"/>
      <c r="AD161" s="53"/>
      <c r="AE161" s="53"/>
    </row>
    <row r="162" spans="1:31" ht="19.5" thickBot="1">
      <c r="A162" s="308"/>
      <c r="B162" s="244"/>
      <c r="C162" s="309">
        <f>G156</f>
        <v>380</v>
      </c>
      <c r="D162" s="244" t="s">
        <v>621</v>
      </c>
      <c r="E162" s="315">
        <f>C162/27</f>
        <v>14.074074074074074</v>
      </c>
      <c r="F162" s="244" t="s">
        <v>622</v>
      </c>
      <c r="G162" s="244"/>
      <c r="H162" s="244"/>
      <c r="I162" s="244"/>
      <c r="J162" s="242"/>
      <c r="L162" s="53"/>
      <c r="M162" s="53"/>
      <c r="N162" s="53"/>
      <c r="O162" s="53"/>
      <c r="P162" s="53"/>
      <c r="Q162" s="53"/>
      <c r="R162" s="53"/>
      <c r="S162" s="53"/>
      <c r="T162" s="53"/>
      <c r="U162" s="53"/>
      <c r="V162" s="53"/>
      <c r="W162" s="53"/>
      <c r="X162" s="53"/>
      <c r="Y162" s="53"/>
      <c r="Z162" s="53"/>
      <c r="AA162" s="53"/>
      <c r="AB162" s="53"/>
      <c r="AC162" s="53"/>
      <c r="AD162" s="53"/>
      <c r="AE162" s="53"/>
    </row>
    <row r="163" spans="1:31" ht="15">
      <c r="A163" s="308"/>
      <c r="B163" s="244"/>
      <c r="C163" s="244"/>
      <c r="D163" s="244"/>
      <c r="E163" s="244"/>
      <c r="F163" s="244"/>
      <c r="G163" s="244"/>
      <c r="H163" s="244"/>
      <c r="I163" s="244"/>
      <c r="J163" s="242"/>
      <c r="L163" s="53"/>
      <c r="M163" s="53"/>
      <c r="N163" s="53"/>
      <c r="O163" s="53"/>
      <c r="P163" s="53"/>
      <c r="Q163" s="53"/>
      <c r="R163" s="53"/>
      <c r="S163" s="53"/>
      <c r="T163" s="53"/>
      <c r="U163" s="53"/>
      <c r="V163" s="53"/>
      <c r="W163" s="53"/>
      <c r="X163" s="53"/>
      <c r="Y163" s="53"/>
      <c r="Z163" s="53"/>
      <c r="AA163" s="53"/>
      <c r="AB163" s="53"/>
      <c r="AC163" s="53"/>
      <c r="AD163" s="53"/>
      <c r="AE163" s="53"/>
    </row>
    <row r="164" spans="1:31" ht="15.75">
      <c r="A164" s="308" t="s">
        <v>63</v>
      </c>
      <c r="B164" s="300" t="s">
        <v>466</v>
      </c>
      <c r="C164" s="244"/>
      <c r="D164" s="244"/>
      <c r="E164" s="244"/>
      <c r="F164" s="244"/>
      <c r="G164" s="244"/>
      <c r="H164" s="244"/>
      <c r="I164" s="244"/>
      <c r="J164" s="242"/>
      <c r="L164" s="53"/>
      <c r="M164" s="53"/>
      <c r="N164" s="53"/>
      <c r="O164" s="53"/>
      <c r="P164" s="53"/>
      <c r="Q164" s="53"/>
      <c r="R164" s="53"/>
      <c r="S164" s="53"/>
      <c r="T164" s="53"/>
      <c r="U164" s="53"/>
      <c r="V164" s="53"/>
      <c r="W164" s="53"/>
      <c r="X164" s="53"/>
      <c r="Y164" s="53"/>
      <c r="Z164" s="53"/>
      <c r="AA164" s="53"/>
      <c r="AB164" s="53"/>
      <c r="AC164" s="53"/>
      <c r="AD164" s="53"/>
      <c r="AE164" s="53"/>
    </row>
    <row r="165" spans="1:31" ht="13.5" customHeight="1">
      <c r="A165" s="308"/>
      <c r="B165" s="314" t="s">
        <v>467</v>
      </c>
      <c r="C165" s="244"/>
      <c r="D165" s="244"/>
      <c r="E165" s="244"/>
      <c r="F165" s="244"/>
      <c r="G165" s="244"/>
      <c r="H165" s="244"/>
      <c r="I165" s="244"/>
      <c r="J165" s="242"/>
      <c r="L165" s="53"/>
      <c r="M165" s="53"/>
      <c r="N165" s="53"/>
      <c r="O165" s="53"/>
      <c r="P165" s="53"/>
      <c r="Q165" s="53"/>
      <c r="R165" s="53"/>
      <c r="S165" s="53"/>
      <c r="T165" s="53"/>
      <c r="U165" s="53"/>
      <c r="V165" s="53"/>
      <c r="W165" s="53"/>
      <c r="X165" s="53"/>
      <c r="Y165" s="53"/>
      <c r="Z165" s="53"/>
      <c r="AA165" s="53"/>
      <c r="AB165" s="53"/>
      <c r="AC165" s="53"/>
      <c r="AD165" s="53"/>
      <c r="AE165" s="53"/>
    </row>
    <row r="166" spans="1:31" ht="13.5" customHeight="1" thickBot="1">
      <c r="A166" s="308"/>
      <c r="B166" s="314"/>
      <c r="C166" s="244"/>
      <c r="D166" s="244"/>
      <c r="E166" s="244"/>
      <c r="F166" s="244"/>
      <c r="G166" s="244"/>
      <c r="H166" s="244"/>
      <c r="I166" s="244"/>
      <c r="J166" s="242"/>
      <c r="L166" s="53"/>
      <c r="M166" s="53"/>
      <c r="N166" s="53"/>
      <c r="O166" s="53"/>
      <c r="P166" s="53"/>
      <c r="Q166" s="53"/>
      <c r="R166" s="53"/>
      <c r="S166" s="53"/>
      <c r="T166" s="53"/>
      <c r="U166" s="53"/>
      <c r="V166" s="53"/>
      <c r="W166" s="53"/>
      <c r="X166" s="53"/>
      <c r="Y166" s="53"/>
      <c r="Z166" s="53"/>
      <c r="AA166" s="53"/>
      <c r="AB166" s="53"/>
      <c r="AC166" s="53"/>
      <c r="AD166" s="53"/>
      <c r="AE166" s="53"/>
    </row>
    <row r="167" spans="1:31" ht="19.5" thickBot="1">
      <c r="A167" s="302"/>
      <c r="B167" s="244"/>
      <c r="C167" s="309">
        <f>E162</f>
        <v>14.074074074074074</v>
      </c>
      <c r="D167" s="244" t="s">
        <v>624</v>
      </c>
      <c r="E167" s="244"/>
      <c r="F167" s="315">
        <f>C167*1.4</f>
        <v>19.703703703703702</v>
      </c>
      <c r="G167" s="244" t="s">
        <v>60</v>
      </c>
      <c r="H167" s="244"/>
      <c r="I167" s="244"/>
      <c r="J167" s="242"/>
      <c r="L167" s="53"/>
      <c r="M167" s="53"/>
      <c r="N167" s="53"/>
      <c r="O167" s="53"/>
      <c r="P167" s="53"/>
      <c r="Q167" s="53"/>
      <c r="R167" s="53"/>
      <c r="S167" s="53"/>
      <c r="T167" s="53"/>
      <c r="U167" s="53"/>
      <c r="V167" s="53"/>
      <c r="W167" s="53"/>
      <c r="X167" s="53"/>
      <c r="Y167" s="53"/>
      <c r="Z167" s="53"/>
      <c r="AA167" s="53"/>
      <c r="AB167" s="53"/>
      <c r="AC167" s="53"/>
      <c r="AD167" s="53"/>
      <c r="AE167" s="53"/>
    </row>
    <row r="168" spans="1:31" ht="13.5" customHeight="1">
      <c r="A168" s="302"/>
      <c r="B168" s="244"/>
      <c r="C168" s="316"/>
      <c r="D168" s="244"/>
      <c r="E168" s="244"/>
      <c r="F168" s="316"/>
      <c r="G168" s="244"/>
      <c r="H168" s="244"/>
      <c r="I168" s="244"/>
      <c r="J168" s="244"/>
      <c r="L168" s="53"/>
      <c r="M168" s="53"/>
      <c r="N168" s="53"/>
      <c r="O168" s="53"/>
      <c r="P168" s="53"/>
      <c r="Q168" s="53"/>
      <c r="R168" s="53"/>
      <c r="S168" s="53"/>
      <c r="T168" s="53"/>
      <c r="U168" s="53"/>
      <c r="V168" s="53"/>
      <c r="W168" s="53"/>
      <c r="X168" s="53"/>
      <c r="Y168" s="53"/>
      <c r="Z168" s="53"/>
      <c r="AA168" s="53"/>
      <c r="AB168" s="53"/>
      <c r="AC168" s="53"/>
      <c r="AD168" s="53"/>
      <c r="AE168" s="53"/>
    </row>
    <row r="169" spans="1:31" ht="13.5" customHeight="1">
      <c r="A169" s="271"/>
      <c r="B169" s="264"/>
      <c r="C169" s="264"/>
      <c r="D169" s="264"/>
      <c r="E169" s="264"/>
      <c r="F169" s="264"/>
      <c r="G169" s="264"/>
      <c r="H169" s="264"/>
      <c r="I169" s="264"/>
      <c r="J169" s="264"/>
      <c r="L169" s="53"/>
      <c r="M169" s="53"/>
      <c r="N169" s="53"/>
      <c r="O169" s="53"/>
      <c r="P169" s="53"/>
      <c r="Q169" s="53"/>
      <c r="R169" s="53"/>
      <c r="S169" s="53"/>
      <c r="T169" s="53"/>
      <c r="U169" s="53"/>
      <c r="V169" s="53"/>
      <c r="W169" s="53"/>
      <c r="X169" s="53"/>
      <c r="Y169" s="53"/>
      <c r="Z169" s="53"/>
      <c r="AA169" s="53"/>
      <c r="AB169" s="53"/>
      <c r="AC169" s="53"/>
      <c r="AD169" s="53"/>
      <c r="AE169" s="53"/>
    </row>
    <row r="170" spans="1:31" ht="13.5" customHeight="1">
      <c r="A170" s="271"/>
      <c r="B170" s="264"/>
      <c r="C170" s="264"/>
      <c r="D170" s="264"/>
      <c r="E170" s="264"/>
      <c r="F170" s="264"/>
      <c r="G170" s="264"/>
      <c r="H170" s="264"/>
      <c r="I170" s="264"/>
      <c r="J170" s="264"/>
      <c r="M170" s="58"/>
      <c r="N170" s="53"/>
      <c r="O170" s="53"/>
      <c r="P170" s="53"/>
      <c r="Q170" s="53"/>
      <c r="R170" s="53"/>
      <c r="S170" s="53"/>
      <c r="T170" s="53"/>
      <c r="U170" s="53"/>
      <c r="V170" s="53"/>
      <c r="W170" s="53"/>
      <c r="X170" s="53"/>
      <c r="Y170" s="53"/>
      <c r="Z170" s="53"/>
      <c r="AA170" s="53"/>
      <c r="AB170" s="53"/>
      <c r="AC170" s="53"/>
      <c r="AD170" s="53"/>
      <c r="AE170" s="53"/>
    </row>
    <row r="171" spans="1:31" ht="13.5" customHeight="1">
      <c r="A171" s="271"/>
      <c r="B171" s="264"/>
      <c r="C171" s="264"/>
      <c r="D171" s="264"/>
      <c r="E171" s="264"/>
      <c r="F171" s="264"/>
      <c r="G171" s="264"/>
      <c r="H171" s="264"/>
      <c r="I171" s="264"/>
      <c r="J171" s="264"/>
      <c r="M171" s="58"/>
      <c r="N171" s="53"/>
      <c r="O171" s="53"/>
      <c r="P171" s="53"/>
      <c r="Q171" s="53"/>
      <c r="R171" s="53"/>
      <c r="S171" s="53"/>
      <c r="T171" s="53"/>
      <c r="U171" s="53"/>
      <c r="V171" s="53"/>
      <c r="W171" s="53"/>
      <c r="X171" s="53"/>
      <c r="Y171" s="53"/>
      <c r="Z171" s="53"/>
      <c r="AA171" s="53"/>
      <c r="AB171" s="53"/>
      <c r="AC171" s="53"/>
      <c r="AD171" s="53"/>
      <c r="AE171" s="53"/>
    </row>
    <row r="172" spans="1:31" ht="13.5" customHeight="1">
      <c r="A172" s="271"/>
      <c r="B172" s="264"/>
      <c r="C172" s="264"/>
      <c r="D172" s="264"/>
      <c r="E172" s="264"/>
      <c r="F172" s="264"/>
      <c r="G172" s="264"/>
      <c r="H172" s="264"/>
      <c r="I172" s="264"/>
      <c r="J172" s="264"/>
      <c r="M172" s="53"/>
      <c r="N172" s="53"/>
      <c r="O172" s="53"/>
      <c r="P172" s="53"/>
      <c r="Q172" s="53"/>
      <c r="R172" s="53"/>
      <c r="S172" s="53"/>
      <c r="T172" s="53"/>
      <c r="U172" s="53"/>
      <c r="V172" s="53"/>
      <c r="W172" s="53"/>
      <c r="X172" s="53"/>
      <c r="Y172" s="53"/>
      <c r="Z172" s="53"/>
      <c r="AA172" s="53"/>
      <c r="AB172" s="53"/>
      <c r="AC172" s="53"/>
      <c r="AD172" s="53"/>
      <c r="AE172" s="53"/>
    </row>
    <row r="173" spans="1:31" ht="13.5" customHeight="1">
      <c r="A173" s="271"/>
      <c r="B173" s="264"/>
      <c r="C173" s="264"/>
      <c r="D173" s="264"/>
      <c r="E173" s="264"/>
      <c r="F173" s="264"/>
      <c r="G173" s="264"/>
      <c r="H173" s="264"/>
      <c r="I173" s="264"/>
      <c r="J173" s="264"/>
      <c r="M173" s="53"/>
      <c r="N173" s="53"/>
      <c r="O173" s="53"/>
      <c r="P173" s="53"/>
      <c r="Q173" s="53"/>
      <c r="R173" s="53"/>
      <c r="S173" s="53"/>
      <c r="T173" s="53"/>
      <c r="U173" s="53"/>
      <c r="V173" s="53"/>
      <c r="W173" s="53"/>
      <c r="X173" s="53"/>
      <c r="Y173" s="53"/>
      <c r="Z173" s="53"/>
      <c r="AA173" s="53"/>
      <c r="AB173" s="53"/>
      <c r="AC173" s="53"/>
      <c r="AD173" s="53"/>
      <c r="AE173" s="53"/>
    </row>
    <row r="174" spans="1:31" ht="13.5" customHeight="1">
      <c r="A174" s="271"/>
      <c r="B174" s="264"/>
      <c r="C174" s="264"/>
      <c r="D174" s="264"/>
      <c r="E174" s="264"/>
      <c r="F174" s="264"/>
      <c r="G174" s="264"/>
      <c r="H174" s="264"/>
      <c r="I174" s="264"/>
      <c r="J174" s="264"/>
      <c r="M174" s="53"/>
      <c r="N174" s="53"/>
      <c r="O174" s="53"/>
      <c r="P174" s="53"/>
      <c r="Q174" s="53"/>
      <c r="R174" s="53"/>
      <c r="S174" s="53"/>
      <c r="T174" s="53"/>
      <c r="U174" s="53"/>
      <c r="V174" s="53"/>
      <c r="W174" s="53"/>
      <c r="X174" s="53"/>
      <c r="Y174" s="53"/>
      <c r="Z174" s="53"/>
      <c r="AA174" s="53"/>
      <c r="AB174" s="53"/>
      <c r="AC174" s="53"/>
      <c r="AD174" s="53"/>
      <c r="AE174" s="53"/>
    </row>
    <row r="175" spans="1:31" ht="13.5" customHeight="1">
      <c r="A175" s="271"/>
      <c r="B175" s="264"/>
      <c r="C175" s="264"/>
      <c r="D175" s="264"/>
      <c r="E175" s="264"/>
      <c r="F175" s="264"/>
      <c r="G175" s="264"/>
      <c r="H175" s="264"/>
      <c r="I175" s="264"/>
      <c r="J175" s="264"/>
      <c r="M175" s="58"/>
      <c r="N175" s="53"/>
      <c r="O175" s="53"/>
      <c r="P175" s="53"/>
      <c r="Q175" s="53"/>
      <c r="R175" s="53"/>
      <c r="S175" s="53"/>
      <c r="T175" s="53"/>
      <c r="U175" s="53"/>
      <c r="V175" s="53"/>
      <c r="W175" s="53"/>
      <c r="X175" s="53"/>
      <c r="Y175" s="53"/>
      <c r="Z175" s="53"/>
      <c r="AA175" s="53"/>
      <c r="AB175" s="53"/>
      <c r="AC175" s="53"/>
      <c r="AD175" s="53"/>
      <c r="AE175" s="53"/>
    </row>
    <row r="176" spans="1:31" ht="13.5" customHeight="1">
      <c r="A176" s="271"/>
      <c r="B176" s="264"/>
      <c r="C176" s="264"/>
      <c r="D176" s="264"/>
      <c r="E176" s="264"/>
      <c r="F176" s="264"/>
      <c r="G176" s="264"/>
      <c r="H176" s="264"/>
      <c r="I176" s="264"/>
      <c r="J176" s="264"/>
      <c r="M176" s="53"/>
      <c r="N176" s="53"/>
      <c r="O176" s="53"/>
      <c r="P176" s="53"/>
      <c r="Q176" s="53"/>
      <c r="R176" s="53"/>
      <c r="S176" s="53"/>
      <c r="T176" s="53"/>
      <c r="U176" s="53"/>
      <c r="V176" s="53"/>
      <c r="W176" s="53"/>
      <c r="X176" s="53"/>
      <c r="Y176" s="53"/>
      <c r="Z176" s="53"/>
      <c r="AA176" s="53"/>
      <c r="AB176" s="53"/>
      <c r="AC176" s="53"/>
      <c r="AD176" s="53"/>
      <c r="AE176" s="53"/>
    </row>
    <row r="177" spans="1:31" ht="13.5" customHeight="1">
      <c r="A177" s="271"/>
      <c r="B177" s="264"/>
      <c r="C177" s="264"/>
      <c r="D177" s="264"/>
      <c r="E177" s="264"/>
      <c r="F177" s="264"/>
      <c r="G177" s="264"/>
      <c r="H177" s="264"/>
      <c r="I177" s="264"/>
      <c r="J177" s="264"/>
      <c r="M177" s="53"/>
      <c r="N177" s="53"/>
      <c r="O177" s="53"/>
      <c r="P177" s="53"/>
      <c r="Q177" s="53"/>
      <c r="R177" s="53"/>
      <c r="S177" s="53"/>
      <c r="T177" s="53"/>
      <c r="U177" s="53"/>
      <c r="V177" s="53"/>
      <c r="W177" s="53"/>
      <c r="X177" s="53"/>
      <c r="Y177" s="53"/>
      <c r="Z177" s="53"/>
      <c r="AA177" s="53"/>
      <c r="AB177" s="53"/>
      <c r="AC177" s="53"/>
      <c r="AD177" s="53"/>
      <c r="AE177" s="53"/>
    </row>
    <row r="178" spans="1:31" ht="13.5" customHeight="1">
      <c r="A178" s="271"/>
      <c r="B178" s="264"/>
      <c r="C178" s="264"/>
      <c r="D178" s="264"/>
      <c r="E178" s="264"/>
      <c r="F178" s="264"/>
      <c r="G178" s="264"/>
      <c r="H178" s="264"/>
      <c r="I178" s="264"/>
      <c r="J178" s="264"/>
      <c r="M178" s="53"/>
      <c r="N178" s="53"/>
      <c r="O178" s="53"/>
      <c r="P178" s="53"/>
      <c r="Q178" s="53"/>
      <c r="R178" s="53"/>
      <c r="S178" s="53"/>
      <c r="T178" s="53"/>
      <c r="U178" s="53"/>
      <c r="V178" s="53"/>
      <c r="W178" s="53"/>
      <c r="X178" s="53"/>
      <c r="Y178" s="53"/>
      <c r="Z178" s="53"/>
      <c r="AA178" s="53"/>
      <c r="AB178" s="53"/>
      <c r="AC178" s="53"/>
      <c r="AD178" s="53"/>
      <c r="AE178" s="53"/>
    </row>
    <row r="179" spans="1:31" ht="13.5" customHeight="1">
      <c r="A179" s="271"/>
      <c r="B179" s="264"/>
      <c r="C179" s="264"/>
      <c r="D179" s="264"/>
      <c r="E179" s="264"/>
      <c r="F179" s="264"/>
      <c r="G179" s="264"/>
      <c r="H179" s="264"/>
      <c r="I179" s="264"/>
      <c r="J179" s="264"/>
      <c r="M179" s="53"/>
      <c r="N179" s="53"/>
      <c r="O179" s="53"/>
      <c r="P179" s="53"/>
      <c r="Q179" s="53"/>
      <c r="R179" s="53"/>
      <c r="S179" s="53"/>
      <c r="T179" s="53"/>
      <c r="U179" s="53"/>
      <c r="V179" s="53"/>
      <c r="W179" s="53"/>
      <c r="X179" s="53"/>
      <c r="Y179" s="53"/>
      <c r="Z179" s="53"/>
      <c r="AA179" s="53"/>
      <c r="AB179" s="53"/>
      <c r="AC179" s="53"/>
      <c r="AD179" s="53"/>
      <c r="AE179" s="53"/>
    </row>
    <row r="180" spans="1:31" ht="13.5" customHeight="1">
      <c r="A180" s="271"/>
      <c r="B180" s="264"/>
      <c r="C180" s="264"/>
      <c r="D180" s="264"/>
      <c r="E180" s="264"/>
      <c r="F180" s="264"/>
      <c r="G180" s="264"/>
      <c r="H180" s="264"/>
      <c r="I180" s="264"/>
      <c r="J180" s="264"/>
      <c r="M180" s="53"/>
      <c r="N180" s="53"/>
      <c r="O180" s="53"/>
      <c r="P180" s="53"/>
      <c r="Q180" s="53"/>
      <c r="R180" s="53"/>
      <c r="S180" s="53"/>
      <c r="T180" s="53"/>
      <c r="U180" s="53"/>
      <c r="V180" s="53"/>
      <c r="W180" s="53"/>
      <c r="X180" s="53"/>
      <c r="Y180" s="53"/>
      <c r="Z180" s="53"/>
      <c r="AA180" s="53"/>
      <c r="AB180" s="53"/>
      <c r="AC180" s="53"/>
      <c r="AD180" s="53"/>
      <c r="AE180" s="53"/>
    </row>
    <row r="181" spans="1:31" ht="13.5" customHeight="1">
      <c r="A181" s="271"/>
      <c r="B181" s="264"/>
      <c r="C181" s="264"/>
      <c r="D181" s="264"/>
      <c r="E181" s="264"/>
      <c r="F181" s="264"/>
      <c r="G181" s="264"/>
      <c r="H181" s="264"/>
      <c r="I181" s="264"/>
      <c r="J181" s="264"/>
      <c r="M181" s="53"/>
      <c r="N181" s="53"/>
      <c r="O181" s="53"/>
      <c r="P181" s="53"/>
      <c r="Q181" s="53"/>
      <c r="R181" s="53"/>
      <c r="S181" s="53"/>
      <c r="T181" s="53"/>
      <c r="U181" s="53"/>
      <c r="V181" s="53"/>
      <c r="W181" s="53"/>
      <c r="X181" s="53"/>
      <c r="Y181" s="53"/>
      <c r="Z181" s="53"/>
      <c r="AA181" s="53"/>
      <c r="AB181" s="53"/>
      <c r="AC181" s="53"/>
      <c r="AD181" s="53"/>
      <c r="AE181" s="53"/>
    </row>
    <row r="182" spans="1:31" ht="13.5" customHeight="1">
      <c r="A182" s="271"/>
      <c r="B182" s="264"/>
      <c r="C182" s="264"/>
      <c r="D182" s="264"/>
      <c r="E182" s="264"/>
      <c r="F182" s="264"/>
      <c r="G182" s="264"/>
      <c r="H182" s="264"/>
      <c r="I182" s="264"/>
      <c r="J182" s="264"/>
      <c r="M182" s="53"/>
      <c r="N182" s="53"/>
      <c r="O182" s="53"/>
      <c r="P182" s="53"/>
      <c r="Q182" s="53"/>
      <c r="R182" s="53"/>
      <c r="S182" s="53"/>
      <c r="T182" s="53"/>
      <c r="U182" s="53"/>
      <c r="V182" s="53"/>
      <c r="W182" s="53"/>
      <c r="X182" s="53"/>
      <c r="Y182" s="53"/>
      <c r="Z182" s="53"/>
      <c r="AA182" s="53"/>
      <c r="AB182" s="53"/>
      <c r="AC182" s="53"/>
      <c r="AD182" s="53"/>
      <c r="AE182" s="53"/>
    </row>
    <row r="183" spans="1:31" ht="13.5" customHeight="1">
      <c r="A183" s="271"/>
      <c r="B183" s="264"/>
      <c r="C183" s="264"/>
      <c r="D183" s="264"/>
      <c r="E183" s="264"/>
      <c r="F183" s="264"/>
      <c r="G183" s="264"/>
      <c r="H183" s="264"/>
      <c r="I183" s="264"/>
      <c r="J183" s="264"/>
      <c r="M183" s="53"/>
      <c r="N183" s="53"/>
      <c r="O183" s="53"/>
      <c r="P183" s="53"/>
      <c r="Q183" s="53"/>
      <c r="R183" s="53"/>
      <c r="S183" s="53"/>
      <c r="T183" s="53"/>
      <c r="U183" s="53"/>
      <c r="V183" s="53"/>
      <c r="W183" s="53"/>
      <c r="X183" s="53"/>
      <c r="Y183" s="53"/>
      <c r="Z183" s="53"/>
      <c r="AA183" s="53"/>
      <c r="AB183" s="53"/>
      <c r="AC183" s="53"/>
      <c r="AD183" s="53"/>
      <c r="AE183" s="53"/>
    </row>
    <row r="184" spans="1:31" ht="13.5" customHeight="1">
      <c r="A184" s="271"/>
      <c r="B184" s="264"/>
      <c r="C184" s="264"/>
      <c r="D184" s="264"/>
      <c r="E184" s="264"/>
      <c r="F184" s="264"/>
      <c r="G184" s="264"/>
      <c r="H184" s="264"/>
      <c r="I184" s="264"/>
      <c r="J184" s="264"/>
      <c r="M184" s="53"/>
      <c r="N184" s="53"/>
      <c r="O184" s="53"/>
      <c r="P184" s="53"/>
      <c r="Q184" s="53"/>
      <c r="R184" s="53"/>
      <c r="S184" s="53"/>
      <c r="T184" s="53"/>
      <c r="U184" s="53"/>
      <c r="V184" s="53"/>
      <c r="W184" s="53"/>
      <c r="X184" s="53"/>
      <c r="Y184" s="53"/>
      <c r="Z184" s="53"/>
      <c r="AA184" s="53"/>
      <c r="AB184" s="53"/>
      <c r="AC184" s="53"/>
      <c r="AD184" s="53"/>
      <c r="AE184" s="53"/>
    </row>
    <row r="185" spans="1:31" ht="13.5" customHeight="1">
      <c r="A185" s="271"/>
      <c r="B185" s="264"/>
      <c r="C185" s="264"/>
      <c r="D185" s="264"/>
      <c r="E185" s="264"/>
      <c r="F185" s="264"/>
      <c r="G185" s="264"/>
      <c r="H185" s="264"/>
      <c r="I185" s="264"/>
      <c r="J185" s="264"/>
      <c r="M185" s="53"/>
      <c r="N185" s="53"/>
      <c r="O185" s="53"/>
      <c r="P185" s="53"/>
      <c r="Q185" s="53"/>
      <c r="R185" s="53"/>
      <c r="S185" s="53"/>
      <c r="T185" s="53"/>
      <c r="U185" s="53"/>
      <c r="V185" s="53"/>
      <c r="W185" s="53"/>
      <c r="X185" s="53"/>
      <c r="Y185" s="53"/>
      <c r="Z185" s="53"/>
      <c r="AA185" s="53"/>
      <c r="AB185" s="53"/>
      <c r="AC185" s="53"/>
      <c r="AD185" s="53"/>
      <c r="AE185" s="53"/>
    </row>
    <row r="186" spans="1:31" ht="13.5" customHeight="1">
      <c r="A186" s="271"/>
      <c r="B186" s="264"/>
      <c r="C186" s="264"/>
      <c r="D186" s="264"/>
      <c r="E186" s="264"/>
      <c r="F186" s="264"/>
      <c r="G186" s="264"/>
      <c r="H186" s="264"/>
      <c r="I186" s="264"/>
      <c r="J186" s="264"/>
      <c r="M186" s="53"/>
      <c r="N186" s="53"/>
      <c r="O186" s="53"/>
      <c r="P186" s="53"/>
      <c r="Q186" s="53"/>
      <c r="R186" s="53"/>
      <c r="S186" s="53"/>
      <c r="T186" s="53"/>
      <c r="U186" s="53"/>
      <c r="V186" s="53"/>
      <c r="W186" s="53"/>
      <c r="X186" s="53"/>
      <c r="Y186" s="53"/>
      <c r="Z186" s="53"/>
      <c r="AA186" s="53"/>
      <c r="AB186" s="53"/>
      <c r="AC186" s="53"/>
      <c r="AD186" s="53"/>
      <c r="AE186" s="53"/>
    </row>
    <row r="187" spans="1:31" ht="13.5" customHeight="1">
      <c r="A187" s="271"/>
      <c r="B187" s="264"/>
      <c r="C187" s="264"/>
      <c r="D187" s="264"/>
      <c r="E187" s="264"/>
      <c r="F187" s="264"/>
      <c r="G187" s="264"/>
      <c r="H187" s="264"/>
      <c r="I187" s="264"/>
      <c r="J187" s="264"/>
      <c r="M187" s="53"/>
      <c r="N187" s="53"/>
      <c r="O187" s="53"/>
      <c r="P187" s="53"/>
      <c r="Q187" s="53"/>
      <c r="R187" s="53"/>
      <c r="S187" s="53"/>
      <c r="T187" s="53"/>
      <c r="U187" s="53"/>
      <c r="V187" s="53"/>
      <c r="W187" s="53"/>
      <c r="X187" s="53"/>
      <c r="Y187" s="53"/>
      <c r="Z187" s="53"/>
      <c r="AA187" s="53"/>
      <c r="AB187" s="53"/>
      <c r="AC187" s="53"/>
      <c r="AD187" s="53"/>
      <c r="AE187" s="53"/>
    </row>
    <row r="188" spans="1:31" ht="13.5" customHeight="1">
      <c r="A188" s="271"/>
      <c r="B188" s="264"/>
      <c r="C188" s="264"/>
      <c r="D188" s="264"/>
      <c r="E188" s="264"/>
      <c r="F188" s="264"/>
      <c r="G188" s="264"/>
      <c r="H188" s="264"/>
      <c r="I188" s="264"/>
      <c r="J188" s="264"/>
      <c r="M188" s="53"/>
      <c r="N188" s="53"/>
      <c r="O188" s="53"/>
      <c r="P188" s="53"/>
      <c r="Q188" s="53"/>
      <c r="R188" s="53"/>
      <c r="S188" s="53"/>
      <c r="T188" s="53"/>
      <c r="U188" s="53"/>
      <c r="V188" s="53"/>
      <c r="W188" s="53"/>
      <c r="X188" s="53"/>
      <c r="Y188" s="53"/>
      <c r="Z188" s="53"/>
      <c r="AA188" s="53"/>
      <c r="AB188" s="53"/>
      <c r="AC188" s="53"/>
      <c r="AD188" s="53"/>
      <c r="AE188" s="53"/>
    </row>
    <row r="189" spans="1:31" ht="13.5" customHeight="1">
      <c r="A189" s="271"/>
      <c r="B189" s="264"/>
      <c r="C189" s="264"/>
      <c r="D189" s="264"/>
      <c r="E189" s="264"/>
      <c r="F189" s="264"/>
      <c r="G189" s="264"/>
      <c r="H189" s="264"/>
      <c r="I189" s="264"/>
      <c r="J189" s="264"/>
      <c r="M189" s="53"/>
      <c r="N189" s="53"/>
      <c r="O189" s="53"/>
      <c r="P189" s="53"/>
      <c r="Q189" s="53"/>
      <c r="R189" s="53"/>
      <c r="S189" s="53"/>
      <c r="T189" s="53"/>
      <c r="U189" s="53"/>
      <c r="V189" s="53"/>
      <c r="W189" s="53"/>
      <c r="X189" s="53"/>
      <c r="Y189" s="53"/>
      <c r="Z189" s="53"/>
      <c r="AA189" s="53"/>
      <c r="AB189" s="53"/>
      <c r="AC189" s="53"/>
      <c r="AD189" s="53"/>
      <c r="AE189" s="53"/>
    </row>
    <row r="190" spans="1:31" ht="13.5" customHeight="1">
      <c r="A190" s="271"/>
      <c r="B190" s="264"/>
      <c r="C190" s="264"/>
      <c r="D190" s="264"/>
      <c r="E190" s="264"/>
      <c r="F190" s="264"/>
      <c r="G190" s="264"/>
      <c r="H190" s="264"/>
      <c r="I190" s="264"/>
      <c r="J190" s="264"/>
      <c r="M190" s="53"/>
      <c r="N190" s="53"/>
      <c r="O190" s="53"/>
      <c r="P190" s="53"/>
      <c r="Q190" s="53"/>
      <c r="R190" s="53"/>
      <c r="S190" s="53"/>
      <c r="T190" s="53"/>
      <c r="U190" s="53"/>
      <c r="V190" s="53"/>
      <c r="W190" s="53"/>
      <c r="X190" s="53"/>
      <c r="Y190" s="53"/>
      <c r="Z190" s="53"/>
      <c r="AA190" s="53"/>
      <c r="AB190" s="53"/>
      <c r="AC190" s="53"/>
      <c r="AD190" s="53"/>
      <c r="AE190" s="53"/>
    </row>
    <row r="191" spans="1:31" ht="13.5" customHeight="1">
      <c r="A191" s="271"/>
      <c r="B191" s="264"/>
      <c r="C191" s="264"/>
      <c r="D191" s="264"/>
      <c r="E191" s="264"/>
      <c r="F191" s="264"/>
      <c r="G191" s="264"/>
      <c r="H191" s="264"/>
      <c r="I191" s="264"/>
      <c r="J191" s="264"/>
      <c r="M191" s="53"/>
      <c r="N191" s="53"/>
      <c r="O191" s="53"/>
      <c r="P191" s="53"/>
      <c r="Q191" s="53"/>
      <c r="R191" s="53"/>
      <c r="S191" s="53"/>
      <c r="T191" s="53"/>
      <c r="U191" s="53"/>
      <c r="V191" s="53"/>
      <c r="W191" s="53"/>
      <c r="X191" s="53"/>
      <c r="Y191" s="53"/>
      <c r="Z191" s="53"/>
      <c r="AA191" s="53"/>
      <c r="AB191" s="53"/>
      <c r="AC191" s="53"/>
      <c r="AD191" s="53"/>
      <c r="AE191" s="53"/>
    </row>
    <row r="192" spans="1:31" ht="13.5" customHeight="1">
      <c r="A192" s="271"/>
      <c r="B192" s="264"/>
      <c r="C192" s="264"/>
      <c r="D192" s="264"/>
      <c r="E192" s="264"/>
      <c r="F192" s="264"/>
      <c r="G192" s="264"/>
      <c r="H192" s="264"/>
      <c r="I192" s="264"/>
      <c r="J192" s="264"/>
      <c r="M192" s="53"/>
      <c r="N192" s="53"/>
      <c r="O192" s="53"/>
      <c r="P192" s="53"/>
      <c r="Q192" s="53"/>
      <c r="R192" s="53"/>
      <c r="S192" s="53"/>
      <c r="T192" s="53"/>
      <c r="U192" s="53"/>
      <c r="V192" s="53"/>
      <c r="W192" s="53"/>
      <c r="X192" s="53"/>
      <c r="Y192" s="53"/>
      <c r="Z192" s="53"/>
      <c r="AA192" s="53"/>
      <c r="AB192" s="53"/>
      <c r="AC192" s="53"/>
      <c r="AD192" s="53"/>
      <c r="AE192" s="53"/>
    </row>
    <row r="193" spans="1:31" ht="13.5" customHeight="1">
      <c r="A193" s="271"/>
      <c r="B193" s="264"/>
      <c r="C193" s="264"/>
      <c r="D193" s="264"/>
      <c r="E193" s="264"/>
      <c r="F193" s="264"/>
      <c r="G193" s="264"/>
      <c r="H193" s="264"/>
      <c r="I193" s="264"/>
      <c r="J193" s="264"/>
      <c r="M193" s="53"/>
      <c r="N193" s="53"/>
      <c r="O193" s="53"/>
      <c r="P193" s="53"/>
      <c r="Q193" s="53"/>
      <c r="R193" s="53"/>
      <c r="S193" s="53"/>
      <c r="T193" s="53"/>
      <c r="U193" s="53"/>
      <c r="V193" s="53"/>
      <c r="W193" s="53"/>
      <c r="X193" s="53"/>
      <c r="Y193" s="53"/>
      <c r="Z193" s="53"/>
      <c r="AA193" s="53"/>
      <c r="AB193" s="53"/>
      <c r="AC193" s="53"/>
      <c r="AD193" s="53"/>
      <c r="AE193" s="53"/>
    </row>
    <row r="194" spans="1:31" ht="13.5" customHeight="1">
      <c r="A194" s="271"/>
      <c r="B194" s="264"/>
      <c r="C194" s="264"/>
      <c r="D194" s="264"/>
      <c r="E194" s="264"/>
      <c r="F194" s="264"/>
      <c r="G194" s="264"/>
      <c r="H194" s="264"/>
      <c r="I194" s="264"/>
      <c r="J194" s="264"/>
      <c r="M194" s="53"/>
      <c r="N194" s="53"/>
      <c r="O194" s="53"/>
      <c r="P194" s="53"/>
      <c r="Q194" s="53"/>
      <c r="R194" s="53"/>
      <c r="S194" s="53"/>
      <c r="T194" s="53"/>
      <c r="U194" s="53"/>
      <c r="V194" s="53"/>
      <c r="W194" s="53"/>
      <c r="X194" s="53"/>
      <c r="Y194" s="53"/>
      <c r="Z194" s="53"/>
      <c r="AA194" s="53"/>
      <c r="AB194" s="53"/>
      <c r="AC194" s="53"/>
      <c r="AD194" s="53"/>
      <c r="AE194" s="53"/>
    </row>
    <row r="195" spans="1:31" ht="13.5" customHeight="1">
      <c r="A195" s="271"/>
      <c r="B195" s="264"/>
      <c r="C195" s="264"/>
      <c r="D195" s="264"/>
      <c r="E195" s="264"/>
      <c r="F195" s="264"/>
      <c r="G195" s="264"/>
      <c r="H195" s="264"/>
      <c r="I195" s="264"/>
      <c r="J195" s="264"/>
      <c r="M195" s="53"/>
      <c r="N195" s="53"/>
      <c r="O195" s="53"/>
      <c r="P195" s="53"/>
      <c r="Q195" s="53"/>
      <c r="R195" s="53"/>
      <c r="S195" s="53"/>
      <c r="T195" s="53"/>
      <c r="U195" s="53"/>
      <c r="V195" s="53"/>
      <c r="W195" s="53"/>
      <c r="X195" s="53"/>
      <c r="Y195" s="53"/>
      <c r="Z195" s="53"/>
      <c r="AA195" s="53"/>
      <c r="AB195" s="53"/>
      <c r="AC195" s="53"/>
      <c r="AD195" s="53"/>
      <c r="AE195" s="53"/>
    </row>
    <row r="196" spans="1:31" ht="13.5" customHeight="1">
      <c r="M196" s="53"/>
      <c r="N196" s="53"/>
      <c r="O196" s="53"/>
      <c r="P196" s="53"/>
      <c r="Q196" s="53"/>
      <c r="R196" s="53"/>
      <c r="S196" s="53"/>
      <c r="T196" s="53"/>
      <c r="U196" s="53"/>
      <c r="V196" s="53"/>
      <c r="W196" s="53"/>
      <c r="X196" s="53"/>
      <c r="Y196" s="53"/>
      <c r="Z196" s="53"/>
      <c r="AA196" s="53"/>
      <c r="AB196" s="53"/>
      <c r="AC196" s="53"/>
      <c r="AD196" s="53"/>
      <c r="AE196" s="53"/>
    </row>
    <row r="197" spans="1:31">
      <c r="M197" s="53"/>
      <c r="N197" s="53"/>
      <c r="O197" s="53"/>
      <c r="P197" s="53"/>
      <c r="Q197" s="53"/>
      <c r="R197" s="53"/>
      <c r="S197" s="53"/>
      <c r="T197" s="53"/>
      <c r="U197" s="53"/>
      <c r="V197" s="53"/>
      <c r="W197" s="53"/>
      <c r="X197" s="53"/>
      <c r="Y197" s="53"/>
      <c r="Z197" s="53"/>
      <c r="AA197" s="53"/>
      <c r="AB197" s="53"/>
      <c r="AC197" s="53"/>
      <c r="AD197" s="53"/>
      <c r="AE197" s="53"/>
    </row>
    <row r="198" spans="1:31">
      <c r="M198" s="53"/>
      <c r="N198" s="53"/>
      <c r="O198" s="53"/>
      <c r="P198" s="53"/>
      <c r="Q198" s="53"/>
      <c r="R198" s="53"/>
      <c r="S198" s="53"/>
      <c r="T198" s="53"/>
      <c r="U198" s="53"/>
      <c r="V198" s="53"/>
      <c r="W198" s="53"/>
      <c r="X198" s="53"/>
      <c r="Y198" s="53"/>
      <c r="Z198" s="53"/>
      <c r="AA198" s="53"/>
      <c r="AB198" s="53"/>
      <c r="AC198" s="53"/>
      <c r="AD198" s="53"/>
      <c r="AE198" s="53"/>
    </row>
    <row r="199" spans="1:31">
      <c r="M199" s="53"/>
      <c r="N199" s="53"/>
      <c r="O199" s="53"/>
      <c r="P199" s="53"/>
      <c r="Q199" s="53"/>
      <c r="R199" s="53"/>
      <c r="S199" s="53"/>
      <c r="T199" s="53"/>
      <c r="U199" s="53"/>
      <c r="V199" s="53"/>
      <c r="W199" s="53"/>
      <c r="X199" s="53"/>
      <c r="Y199" s="53"/>
      <c r="Z199" s="53"/>
      <c r="AA199" s="53"/>
      <c r="AB199" s="53"/>
      <c r="AC199" s="53"/>
      <c r="AD199" s="53"/>
      <c r="AE199" s="53"/>
    </row>
    <row r="200" spans="1:31">
      <c r="M200" s="53"/>
      <c r="N200" s="53"/>
      <c r="O200" s="53"/>
      <c r="P200" s="53"/>
      <c r="Q200" s="53"/>
      <c r="R200" s="53"/>
      <c r="S200" s="53"/>
      <c r="T200" s="53"/>
      <c r="U200" s="53"/>
      <c r="V200" s="53"/>
      <c r="W200" s="53"/>
      <c r="X200" s="53"/>
      <c r="Y200" s="53"/>
      <c r="Z200" s="53"/>
      <c r="AA200" s="53"/>
      <c r="AB200" s="53"/>
      <c r="AC200" s="53"/>
      <c r="AD200" s="53"/>
      <c r="AE200" s="53"/>
    </row>
    <row r="201" spans="1:31">
      <c r="M201" s="53"/>
      <c r="N201" s="53"/>
      <c r="O201" s="53"/>
      <c r="P201" s="53"/>
      <c r="Q201" s="53"/>
      <c r="R201" s="53"/>
      <c r="S201" s="53"/>
      <c r="T201" s="53"/>
      <c r="U201" s="53"/>
      <c r="V201" s="53"/>
      <c r="W201" s="53"/>
      <c r="X201" s="53"/>
      <c r="Y201" s="53"/>
      <c r="Z201" s="53"/>
      <c r="AA201" s="53"/>
      <c r="AB201" s="53"/>
      <c r="AC201" s="53"/>
      <c r="AD201" s="53"/>
      <c r="AE201" s="53"/>
    </row>
    <row r="202" spans="1:31">
      <c r="M202" s="53"/>
      <c r="N202" s="53"/>
      <c r="O202" s="53"/>
      <c r="P202" s="53"/>
      <c r="Q202" s="53"/>
      <c r="R202" s="53"/>
      <c r="S202" s="53"/>
      <c r="T202" s="53"/>
      <c r="U202" s="53"/>
      <c r="V202" s="53"/>
      <c r="W202" s="53"/>
      <c r="X202" s="53"/>
      <c r="Y202" s="53"/>
      <c r="Z202" s="53"/>
      <c r="AA202" s="53"/>
      <c r="AB202" s="53"/>
      <c r="AC202" s="53"/>
      <c r="AD202" s="53"/>
      <c r="AE202" s="53"/>
    </row>
    <row r="203" spans="1:31">
      <c r="M203" s="53"/>
      <c r="N203" s="53"/>
      <c r="O203" s="53"/>
      <c r="P203" s="53"/>
      <c r="Q203" s="53"/>
      <c r="R203" s="53"/>
      <c r="S203" s="53"/>
      <c r="T203" s="53"/>
      <c r="U203" s="53"/>
      <c r="V203" s="53"/>
      <c r="W203" s="53"/>
      <c r="X203" s="53"/>
      <c r="Y203" s="53"/>
      <c r="Z203" s="53"/>
      <c r="AA203" s="53"/>
      <c r="AB203" s="53"/>
      <c r="AC203" s="53"/>
      <c r="AD203" s="53"/>
      <c r="AE203" s="53"/>
    </row>
    <row r="204" spans="1:31">
      <c r="M204" s="53"/>
      <c r="N204" s="53"/>
      <c r="O204" s="53"/>
      <c r="P204" s="53"/>
      <c r="Q204" s="53"/>
      <c r="R204" s="53"/>
      <c r="S204" s="53"/>
      <c r="T204" s="53"/>
      <c r="U204" s="53"/>
      <c r="V204" s="53"/>
      <c r="W204" s="53"/>
      <c r="X204" s="53"/>
      <c r="Y204" s="53"/>
      <c r="Z204" s="53"/>
      <c r="AA204" s="53"/>
      <c r="AB204" s="53"/>
      <c r="AC204" s="53"/>
      <c r="AD204" s="53"/>
      <c r="AE204" s="53"/>
    </row>
    <row r="205" spans="1:31">
      <c r="M205" s="53"/>
      <c r="N205" s="53"/>
      <c r="O205" s="53"/>
      <c r="P205" s="53"/>
      <c r="Q205" s="53"/>
      <c r="R205" s="53"/>
      <c r="S205" s="53"/>
      <c r="T205" s="53"/>
      <c r="U205" s="53"/>
      <c r="V205" s="53"/>
      <c r="W205" s="53"/>
      <c r="X205" s="53"/>
      <c r="Y205" s="53"/>
      <c r="Z205" s="53"/>
      <c r="AA205" s="53"/>
      <c r="AB205" s="53"/>
      <c r="AC205" s="53"/>
      <c r="AD205" s="53"/>
      <c r="AE205" s="53"/>
    </row>
    <row r="206" spans="1:31">
      <c r="M206" s="53"/>
      <c r="N206" s="53"/>
      <c r="O206" s="53"/>
      <c r="P206" s="53"/>
      <c r="Q206" s="53"/>
      <c r="R206" s="53"/>
      <c r="S206" s="53"/>
      <c r="T206" s="53"/>
      <c r="U206" s="53"/>
      <c r="V206" s="53"/>
      <c r="W206" s="53"/>
      <c r="X206" s="53"/>
      <c r="Y206" s="53"/>
      <c r="Z206" s="53"/>
      <c r="AA206" s="53"/>
      <c r="AB206" s="53"/>
      <c r="AC206" s="53"/>
      <c r="AD206" s="53"/>
      <c r="AE206" s="53"/>
    </row>
    <row r="207" spans="1:31">
      <c r="M207" s="53"/>
    </row>
    <row r="208" spans="1:31">
      <c r="M208" s="53"/>
    </row>
    <row r="209" spans="7:13">
      <c r="M209" s="58"/>
    </row>
    <row r="210" spans="7:13">
      <c r="M210" s="53"/>
    </row>
    <row r="211" spans="7:13">
      <c r="M211" s="53"/>
    </row>
    <row r="212" spans="7:13">
      <c r="M212" s="53"/>
    </row>
    <row r="213" spans="7:13">
      <c r="M213" s="53"/>
    </row>
    <row r="214" spans="7:13">
      <c r="M214" s="53"/>
    </row>
    <row r="218" spans="7:13">
      <c r="G218" s="53"/>
      <c r="H218" s="53"/>
      <c r="I218" s="53"/>
      <c r="J218" s="53"/>
      <c r="K218" s="53"/>
      <c r="L218" s="53"/>
    </row>
  </sheetData>
  <sheetProtection password="C420" sheet="1" objects="1" scenarios="1"/>
  <mergeCells count="17">
    <mergeCell ref="B106:D106"/>
    <mergeCell ref="L56:T56"/>
    <mergeCell ref="B24:D24"/>
    <mergeCell ref="B21:D21"/>
    <mergeCell ref="B22:D22"/>
    <mergeCell ref="B23:D23"/>
    <mergeCell ref="B25:D25"/>
    <mergeCell ref="C47:D47"/>
    <mergeCell ref="L54:T54"/>
    <mergeCell ref="L55:T55"/>
    <mergeCell ref="L53:T53"/>
    <mergeCell ref="G1:J1"/>
    <mergeCell ref="B20:D20"/>
    <mergeCell ref="A13:C13"/>
    <mergeCell ref="A14:C14"/>
    <mergeCell ref="A1:E2"/>
    <mergeCell ref="G2:J2"/>
  </mergeCells>
  <dataValidations count="1">
    <dataValidation type="list" allowBlank="1" showInputMessage="1" showErrorMessage="1" sqref="E47">
      <formula1>Absorb</formula1>
    </dataValidation>
  </dataValidations>
  <pageMargins left="0.4" right="0.4" top="0.4" bottom="0.4" header="0.41" footer="0.22"/>
  <pageSetup scale="75" fitToWidth="2" fitToHeight="5" orientation="portrait" r:id="rId1"/>
  <headerFooter alignWithMargins="0">
    <oddFooter>Page &amp;P of &amp;N</oddFooter>
  </headerFooter>
  <colBreaks count="1" manualBreakCount="1">
    <brk id="10" max="140"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39997558519241921"/>
  </sheetPr>
  <dimension ref="A1:AL232"/>
  <sheetViews>
    <sheetView showGridLines="0" topLeftCell="A136" zoomScaleNormal="100" zoomScaleSheetLayoutView="75" workbookViewId="0">
      <selection activeCell="M135" sqref="M135"/>
    </sheetView>
  </sheetViews>
  <sheetFormatPr defaultRowHeight="12.75"/>
  <cols>
    <col min="1" max="1" width="4.7109375" style="3" customWidth="1"/>
    <col min="2" max="2" width="11.7109375" style="1" customWidth="1"/>
    <col min="3" max="3" width="18.140625" style="1" customWidth="1"/>
    <col min="4" max="4" width="21" style="1" customWidth="1"/>
    <col min="5" max="5" width="24.42578125" style="1" customWidth="1"/>
    <col min="6" max="6" width="12.42578125" style="1" customWidth="1"/>
    <col min="7" max="7" width="12.85546875" style="1" customWidth="1"/>
    <col min="8" max="8" width="8.85546875" style="1" bestFit="1" customWidth="1"/>
    <col min="9" max="9" width="6.28515625" style="1" bestFit="1" customWidth="1"/>
    <col min="10" max="11" width="4.28515625" style="1" customWidth="1"/>
    <col min="12" max="12" width="11.85546875" style="1" customWidth="1"/>
    <col min="13" max="13" width="7.42578125" style="1" customWidth="1"/>
    <col min="14" max="14" width="19.85546875" style="1" bestFit="1" customWidth="1"/>
    <col min="15" max="15" width="18.28515625" style="1" customWidth="1"/>
    <col min="16" max="16" width="17.7109375" style="1" bestFit="1" customWidth="1"/>
    <col min="17" max="17" width="13.7109375" style="1" customWidth="1"/>
    <col min="18" max="18" width="19" style="1" customWidth="1"/>
    <col min="19" max="19" width="23.42578125" style="1" customWidth="1"/>
    <col min="20" max="21" width="12.85546875" style="1" bestFit="1" customWidth="1"/>
    <col min="22" max="22" width="11.42578125" style="1" bestFit="1" customWidth="1"/>
    <col min="23" max="24" width="5.42578125" style="1" bestFit="1" customWidth="1"/>
    <col min="25" max="25" width="12.5703125" style="1" bestFit="1" customWidth="1"/>
    <col min="26" max="26" width="14.85546875" style="1" customWidth="1"/>
    <col min="27" max="16384" width="9.140625" style="1"/>
  </cols>
  <sheetData>
    <row r="1" spans="1:38" ht="18" customHeight="1">
      <c r="A1" s="775" t="s">
        <v>625</v>
      </c>
      <c r="B1" s="776"/>
      <c r="C1" s="776"/>
      <c r="D1" s="776"/>
      <c r="E1" s="776"/>
      <c r="F1" s="591" t="s">
        <v>422</v>
      </c>
      <c r="G1" s="802">
        <f>'Site Evaluation'!J1</f>
        <v>2345</v>
      </c>
      <c r="H1" s="802"/>
      <c r="I1" s="802"/>
      <c r="J1" s="803"/>
      <c r="K1" s="53"/>
      <c r="W1" s="57"/>
      <c r="AH1" s="53"/>
      <c r="AI1" s="53"/>
      <c r="AJ1" s="53"/>
      <c r="AK1" s="53"/>
    </row>
    <row r="2" spans="1:38" ht="18" customHeight="1">
      <c r="A2" s="777"/>
      <c r="B2" s="778"/>
      <c r="C2" s="778"/>
      <c r="D2" s="778"/>
      <c r="E2" s="778"/>
      <c r="F2" s="592" t="s">
        <v>803</v>
      </c>
      <c r="G2" s="804" t="str">
        <f>IF(ISBLANK('Site Evaluation'!B6),"",'Site Evaluation'!B6)</f>
        <v/>
      </c>
      <c r="H2" s="804"/>
      <c r="I2" s="804"/>
      <c r="J2" s="805"/>
      <c r="K2" s="53"/>
      <c r="W2" s="53"/>
      <c r="X2" s="7"/>
      <c r="Y2" s="7"/>
      <c r="AF2" s="7"/>
      <c r="AG2" s="7"/>
      <c r="AH2" s="58"/>
      <c r="AI2" s="58"/>
      <c r="AJ2" s="58"/>
      <c r="AK2" s="58"/>
      <c r="AL2" s="7"/>
    </row>
    <row r="3" spans="1:38" s="8" customFormat="1" ht="7.5" hidden="1" customHeight="1">
      <c r="A3" s="297"/>
      <c r="B3" s="298"/>
      <c r="C3" s="298"/>
      <c r="D3" s="298"/>
      <c r="E3" s="298"/>
      <c r="F3" s="298"/>
      <c r="G3" s="298"/>
      <c r="H3" s="298"/>
      <c r="I3" s="298"/>
      <c r="J3" s="298"/>
      <c r="K3" s="70"/>
      <c r="L3" s="36"/>
      <c r="M3" s="36"/>
      <c r="N3" s="36"/>
      <c r="O3" s="36"/>
      <c r="P3" s="7"/>
      <c r="Q3" s="7"/>
      <c r="R3" s="7"/>
      <c r="S3" s="7"/>
      <c r="T3" s="7"/>
      <c r="U3" s="7"/>
      <c r="V3" s="7"/>
      <c r="W3" s="53"/>
      <c r="X3" s="1"/>
      <c r="Y3" s="1"/>
      <c r="AF3" s="1"/>
      <c r="AG3" s="1"/>
      <c r="AH3" s="53"/>
      <c r="AI3" s="53"/>
      <c r="AJ3" s="53"/>
      <c r="AK3" s="53"/>
      <c r="AL3" s="1"/>
    </row>
    <row r="4" spans="1:38" s="7" customFormat="1" ht="14.25" customHeight="1">
      <c r="A4" s="300"/>
      <c r="B4" s="244"/>
      <c r="C4" s="243"/>
      <c r="D4" s="242"/>
      <c r="E4" s="243"/>
      <c r="F4" s="242"/>
      <c r="G4" s="242"/>
      <c r="H4" s="242"/>
      <c r="I4" s="242"/>
      <c r="J4" s="242"/>
      <c r="K4" s="68"/>
      <c r="L4" s="36"/>
      <c r="M4" s="36"/>
      <c r="N4" s="68"/>
      <c r="O4" s="89" t="s">
        <v>99</v>
      </c>
      <c r="P4" s="68"/>
      <c r="W4" s="58"/>
      <c r="X4" s="1"/>
      <c r="Y4" s="1"/>
      <c r="AF4" s="1"/>
      <c r="AG4" s="1"/>
      <c r="AH4" s="53"/>
      <c r="AI4" s="53"/>
      <c r="AJ4" s="53"/>
      <c r="AK4" s="53"/>
      <c r="AL4" s="1"/>
    </row>
    <row r="5" spans="1:38" ht="19.5" customHeight="1">
      <c r="A5" s="349" t="s">
        <v>139</v>
      </c>
      <c r="B5" s="806" t="s">
        <v>138</v>
      </c>
      <c r="C5" s="806"/>
      <c r="D5" s="806"/>
      <c r="E5" s="350"/>
      <c r="F5" s="350"/>
      <c r="G5" s="350"/>
      <c r="H5" s="350"/>
      <c r="I5" s="350"/>
      <c r="J5" s="351"/>
      <c r="K5" s="70"/>
      <c r="L5" s="18"/>
      <c r="M5" s="18"/>
      <c r="N5" s="18"/>
      <c r="O5" s="18"/>
      <c r="W5" s="53"/>
      <c r="AH5" s="53"/>
      <c r="AI5" s="53"/>
      <c r="AJ5" s="53"/>
      <c r="AK5" s="53"/>
    </row>
    <row r="6" spans="1:38" ht="15" customHeight="1">
      <c r="A6" s="301"/>
      <c r="B6" s="300"/>
      <c r="C6" s="300"/>
      <c r="D6" s="300"/>
      <c r="E6" s="300"/>
      <c r="F6" s="300"/>
      <c r="G6" s="300"/>
      <c r="H6" s="298"/>
      <c r="I6" s="298"/>
      <c r="J6" s="298"/>
      <c r="K6" s="70"/>
      <c r="L6" s="18"/>
      <c r="M6" s="18"/>
      <c r="N6" s="18"/>
      <c r="O6" s="18"/>
      <c r="W6" s="53"/>
      <c r="AF6" s="53"/>
      <c r="AG6" s="53"/>
      <c r="AH6" s="53"/>
      <c r="AI6" s="53"/>
      <c r="AJ6" s="53"/>
      <c r="AK6" s="53"/>
    </row>
    <row r="7" spans="1:38" ht="15" customHeight="1" thickBot="1">
      <c r="A7" s="302"/>
      <c r="B7" s="781" t="s">
        <v>137</v>
      </c>
      <c r="C7" s="781"/>
      <c r="D7" s="303">
        <f>IF(ISBLANK('Site Evaluation'!E26),"",'Site Evaluation'!E26)</f>
        <v>450</v>
      </c>
      <c r="E7" s="244" t="s">
        <v>459</v>
      </c>
      <c r="F7" s="244"/>
      <c r="G7" s="242"/>
      <c r="H7" s="242"/>
      <c r="I7" s="242"/>
      <c r="J7" s="242"/>
      <c r="K7" s="68"/>
      <c r="L7" s="18"/>
      <c r="M7" s="18"/>
      <c r="N7" s="18"/>
      <c r="O7" s="18"/>
      <c r="P7" s="107" t="s">
        <v>96</v>
      </c>
      <c r="Q7" s="103">
        <f>C109</f>
        <v>8.2999999999999989</v>
      </c>
      <c r="W7" s="53"/>
      <c r="X7" s="53"/>
      <c r="Y7" s="53"/>
      <c r="AF7" s="53"/>
      <c r="AG7" s="53"/>
      <c r="AH7" s="53"/>
      <c r="AI7" s="53"/>
      <c r="AJ7" s="53"/>
      <c r="AK7" s="53"/>
    </row>
    <row r="8" spans="1:38" ht="15" customHeight="1" thickBot="1">
      <c r="A8" s="302"/>
      <c r="B8" s="781" t="s">
        <v>136</v>
      </c>
      <c r="C8" s="781"/>
      <c r="D8" s="247"/>
      <c r="E8" s="244" t="s">
        <v>135</v>
      </c>
      <c r="F8" s="304" t="str">
        <f>IF(ISBLANK(D8),"",D8*1.5)</f>
        <v/>
      </c>
      <c r="G8" s="244" t="s">
        <v>134</v>
      </c>
      <c r="H8" s="242"/>
      <c r="I8" s="242"/>
      <c r="J8" s="242"/>
      <c r="K8" s="68"/>
      <c r="L8" s="18"/>
      <c r="M8" s="18"/>
      <c r="N8" s="18"/>
      <c r="O8" s="18"/>
      <c r="W8" s="53"/>
      <c r="X8" s="53"/>
      <c r="Y8" s="53"/>
      <c r="AF8" s="68"/>
      <c r="AG8" s="68"/>
      <c r="AH8" s="70"/>
      <c r="AI8" s="70"/>
      <c r="AJ8" s="53"/>
      <c r="AK8" s="53"/>
    </row>
    <row r="9" spans="1:38" s="7" customFormat="1" ht="22.5" customHeight="1">
      <c r="A9" s="302"/>
      <c r="B9" s="244"/>
      <c r="C9" s="242"/>
      <c r="D9" s="242"/>
      <c r="E9" s="245"/>
      <c r="F9" s="244"/>
      <c r="G9" s="244"/>
      <c r="H9" s="245"/>
      <c r="I9" s="244"/>
      <c r="J9" s="242"/>
      <c r="K9" s="68"/>
      <c r="L9" s="36"/>
      <c r="M9" s="36"/>
      <c r="N9" s="36"/>
      <c r="O9" s="809" t="s">
        <v>93</v>
      </c>
      <c r="P9" s="809"/>
      <c r="R9" s="1"/>
      <c r="S9" s="1"/>
      <c r="T9" s="1"/>
      <c r="U9" s="1"/>
      <c r="V9" s="1"/>
      <c r="W9" s="53"/>
      <c r="X9" s="53"/>
      <c r="Y9" s="53"/>
      <c r="Z9" s="1"/>
      <c r="AA9" s="1"/>
      <c r="AB9" s="1"/>
      <c r="AC9" s="1"/>
      <c r="AD9" s="71"/>
      <c r="AI9" s="70"/>
      <c r="AJ9" s="53"/>
      <c r="AK9" s="53"/>
      <c r="AL9" s="1"/>
    </row>
    <row r="10" spans="1:38" s="7" customFormat="1" ht="19.5" customHeight="1">
      <c r="A10" s="349" t="s">
        <v>133</v>
      </c>
      <c r="B10" s="806" t="s">
        <v>132</v>
      </c>
      <c r="C10" s="806"/>
      <c r="D10" s="806"/>
      <c r="E10" s="352"/>
      <c r="F10" s="353"/>
      <c r="G10" s="353"/>
      <c r="H10" s="352"/>
      <c r="I10" s="352"/>
      <c r="J10" s="354"/>
      <c r="K10" s="68"/>
      <c r="N10" s="36"/>
      <c r="R10" s="1"/>
      <c r="S10" s="1"/>
      <c r="T10" s="1"/>
      <c r="U10" s="1"/>
      <c r="V10" s="1"/>
      <c r="W10" s="53"/>
      <c r="X10" s="53"/>
      <c r="Y10" s="53"/>
      <c r="Z10" s="1"/>
      <c r="AA10" s="1"/>
      <c r="AB10" s="1"/>
      <c r="AC10" s="1"/>
      <c r="AD10" s="71"/>
      <c r="AI10" s="68"/>
      <c r="AJ10" s="53"/>
      <c r="AK10" s="53"/>
      <c r="AL10" s="1"/>
    </row>
    <row r="11" spans="1:38" s="7" customFormat="1" ht="15" customHeight="1">
      <c r="A11" s="302"/>
      <c r="B11" s="244"/>
      <c r="C11" s="242"/>
      <c r="D11" s="242"/>
      <c r="E11" s="245"/>
      <c r="F11" s="244"/>
      <c r="G11" s="244"/>
      <c r="H11" s="245"/>
      <c r="I11" s="244"/>
      <c r="J11" s="242"/>
      <c r="K11" s="68"/>
      <c r="L11" s="124" t="s">
        <v>91</v>
      </c>
      <c r="M11" s="518"/>
      <c r="N11" s="18"/>
      <c r="O11" s="123" t="s">
        <v>89</v>
      </c>
      <c r="P11" s="103">
        <f>G38</f>
        <v>10</v>
      </c>
      <c r="Q11" s="1"/>
      <c r="R11" s="1"/>
      <c r="S11" s="1"/>
      <c r="T11" s="1"/>
      <c r="U11" s="1"/>
      <c r="V11" s="1"/>
      <c r="W11" s="1"/>
      <c r="X11" s="53"/>
      <c r="Y11" s="53"/>
      <c r="Z11" s="1"/>
      <c r="AA11" s="1"/>
      <c r="AB11" s="1"/>
      <c r="AC11" s="1"/>
      <c r="AD11" s="68"/>
      <c r="AI11" s="68"/>
      <c r="AJ11" s="53"/>
      <c r="AK11" s="53"/>
      <c r="AL11" s="1"/>
    </row>
    <row r="12" spans="1:38" ht="16.5" customHeight="1">
      <c r="E12" s="300"/>
      <c r="F12" s="305"/>
      <c r="G12" s="244"/>
      <c r="H12" s="245"/>
      <c r="I12" s="242"/>
      <c r="J12" s="242"/>
      <c r="K12" s="68"/>
      <c r="L12" s="124" t="s">
        <v>89</v>
      </c>
      <c r="M12" s="518"/>
      <c r="N12" s="103">
        <f>C114</f>
        <v>8.2999999999999989</v>
      </c>
      <c r="O12" s="123" t="s">
        <v>90</v>
      </c>
      <c r="P12" s="103">
        <f>G42</f>
        <v>38</v>
      </c>
      <c r="Q12" s="18"/>
      <c r="R12" s="104">
        <f>G114</f>
        <v>8.2999999999999989</v>
      </c>
      <c r="S12" s="70"/>
      <c r="T12" s="70"/>
      <c r="U12" s="70"/>
      <c r="V12" s="68"/>
      <c r="W12" s="68"/>
      <c r="X12" s="53"/>
      <c r="Y12" s="53"/>
      <c r="AD12" s="68"/>
      <c r="AI12" s="68"/>
      <c r="AJ12" s="53"/>
      <c r="AK12" s="53"/>
    </row>
    <row r="13" spans="1:38" ht="18.75" customHeight="1">
      <c r="A13" s="301"/>
      <c r="B13" s="305"/>
      <c r="C13" s="305"/>
      <c r="D13" s="300"/>
      <c r="E13" s="300"/>
      <c r="F13" s="305"/>
      <c r="G13" s="244"/>
      <c r="H13" s="245"/>
      <c r="I13" s="242"/>
      <c r="J13" s="242"/>
      <c r="K13" s="68"/>
      <c r="L13" s="105">
        <f>I109</f>
        <v>35.299999999999997</v>
      </c>
      <c r="M13" s="105"/>
      <c r="N13" s="18"/>
      <c r="O13" s="18"/>
      <c r="P13" s="18"/>
      <c r="Q13" s="18"/>
      <c r="R13" s="18"/>
      <c r="S13" s="68"/>
      <c r="T13" s="68"/>
      <c r="U13" s="70"/>
      <c r="V13" s="68"/>
      <c r="W13" s="68"/>
      <c r="X13" s="53"/>
      <c r="Y13" s="53"/>
      <c r="AD13" s="68"/>
      <c r="AI13" s="68"/>
      <c r="AJ13" s="53"/>
      <c r="AK13" s="53"/>
    </row>
    <row r="14" spans="1:38" ht="15" customHeight="1">
      <c r="A14" s="302"/>
      <c r="B14" s="781" t="s">
        <v>131</v>
      </c>
      <c r="C14" s="781"/>
      <c r="D14" s="306">
        <f>IF(ISBLANK('Site Evaluation'!E74),"",'Site Evaluation'!E74)</f>
        <v>1500</v>
      </c>
      <c r="E14" s="244" t="s">
        <v>541</v>
      </c>
      <c r="F14" s="307"/>
      <c r="G14" s="244"/>
      <c r="H14" s="245"/>
      <c r="I14" s="242"/>
      <c r="J14" s="298"/>
      <c r="K14" s="70"/>
      <c r="L14" s="18"/>
      <c r="M14" s="18"/>
      <c r="N14" s="18"/>
      <c r="P14" s="810" t="s">
        <v>86</v>
      </c>
      <c r="Q14" s="810"/>
      <c r="R14" s="18"/>
      <c r="S14" s="68"/>
      <c r="T14" s="68"/>
      <c r="U14" s="68"/>
      <c r="V14" s="68"/>
      <c r="W14" s="68"/>
      <c r="X14" s="53"/>
      <c r="Y14" s="53"/>
      <c r="AD14" s="68"/>
      <c r="AI14" s="68"/>
      <c r="AJ14" s="53"/>
      <c r="AK14" s="53"/>
    </row>
    <row r="15" spans="1:38" ht="15" customHeight="1">
      <c r="A15" s="302"/>
      <c r="B15" s="781" t="s">
        <v>528</v>
      </c>
      <c r="C15" s="781"/>
      <c r="D15" s="306">
        <f>IF(ISBLANK('Site Evaluation'!J74),"",'Site Evaluation'!J74)</f>
        <v>1</v>
      </c>
      <c r="E15" s="244"/>
      <c r="F15" s="242"/>
      <c r="G15" s="244"/>
      <c r="H15" s="242"/>
      <c r="I15" s="242"/>
      <c r="J15" s="242"/>
      <c r="K15" s="68"/>
      <c r="L15" s="18"/>
      <c r="M15" s="18"/>
      <c r="N15" s="68"/>
      <c r="P15" s="171">
        <f>F58</f>
        <v>17</v>
      </c>
      <c r="R15" s="68"/>
      <c r="S15" s="68"/>
      <c r="T15" s="68"/>
      <c r="U15" s="68"/>
      <c r="V15" s="68"/>
      <c r="W15" s="68"/>
      <c r="X15" s="53"/>
      <c r="Y15" s="53"/>
      <c r="AD15" s="68"/>
      <c r="AI15" s="67"/>
      <c r="AJ15" s="53"/>
      <c r="AK15" s="53"/>
    </row>
    <row r="16" spans="1:38" s="7" customFormat="1" ht="19.5" customHeight="1">
      <c r="A16" s="299"/>
      <c r="B16" s="298"/>
      <c r="C16" s="298"/>
      <c r="D16" s="298"/>
      <c r="E16" s="242"/>
      <c r="F16" s="242"/>
      <c r="G16" s="242"/>
      <c r="H16" s="242"/>
      <c r="I16" s="242"/>
      <c r="J16" s="242"/>
      <c r="K16" s="68"/>
      <c r="L16" s="36"/>
      <c r="M16" s="36"/>
      <c r="N16" s="68"/>
      <c r="O16" s="68"/>
      <c r="P16" s="68"/>
      <c r="T16" s="68"/>
      <c r="U16" s="68"/>
      <c r="V16" s="68"/>
      <c r="W16" s="68"/>
      <c r="X16" s="53"/>
      <c r="Y16" s="53"/>
      <c r="Z16" s="1"/>
      <c r="AA16" s="1"/>
      <c r="AB16" s="1"/>
      <c r="AC16" s="1"/>
      <c r="AD16" s="68"/>
      <c r="AI16" s="68"/>
      <c r="AJ16" s="53"/>
      <c r="AK16" s="53"/>
      <c r="AL16" s="1"/>
    </row>
    <row r="17" spans="1:38" s="7" customFormat="1" ht="19.5" customHeight="1">
      <c r="A17" s="349" t="s">
        <v>130</v>
      </c>
      <c r="B17" s="806" t="s">
        <v>591</v>
      </c>
      <c r="C17" s="806"/>
      <c r="D17" s="806"/>
      <c r="E17" s="350"/>
      <c r="F17" s="352"/>
      <c r="G17" s="350"/>
      <c r="H17" s="350"/>
      <c r="I17" s="350"/>
      <c r="J17" s="351"/>
      <c r="K17" s="70"/>
      <c r="L17" s="36"/>
      <c r="M17" s="36"/>
      <c r="N17" s="68"/>
      <c r="O17" s="68"/>
      <c r="P17" s="68"/>
      <c r="Q17" s="68"/>
      <c r="R17" s="68"/>
      <c r="S17" s="68"/>
      <c r="T17" s="68"/>
      <c r="U17" s="68"/>
      <c r="V17" s="68"/>
      <c r="W17" s="68"/>
      <c r="X17" s="53"/>
      <c r="Y17" s="53"/>
      <c r="Z17" s="1"/>
      <c r="AA17" s="1"/>
      <c r="AB17" s="1"/>
      <c r="AC17" s="1"/>
      <c r="AD17" s="71"/>
      <c r="AE17" s="1"/>
      <c r="AF17" s="1"/>
      <c r="AG17" s="1"/>
      <c r="AH17" s="1"/>
      <c r="AI17" s="1"/>
      <c r="AJ17" s="53"/>
      <c r="AK17" s="53"/>
      <c r="AL17" s="1"/>
    </row>
    <row r="18" spans="1:38" s="7" customFormat="1" ht="15.75" customHeight="1">
      <c r="A18" s="298"/>
      <c r="B18" s="298"/>
      <c r="C18" s="298"/>
      <c r="D18" s="298"/>
      <c r="E18" s="298"/>
      <c r="F18" s="245"/>
      <c r="G18" s="298"/>
      <c r="H18" s="298"/>
      <c r="I18" s="298"/>
      <c r="J18" s="298"/>
      <c r="K18" s="70"/>
      <c r="L18" s="36"/>
      <c r="M18" s="36"/>
      <c r="N18" s="110" t="s">
        <v>87</v>
      </c>
      <c r="O18" s="106">
        <f>G109</f>
        <v>17</v>
      </c>
      <c r="P18" s="170"/>
      <c r="Q18" s="68"/>
      <c r="R18" s="68"/>
      <c r="S18" s="68"/>
      <c r="T18" s="68"/>
      <c r="U18" s="68"/>
      <c r="V18" s="68"/>
      <c r="W18" s="68"/>
      <c r="X18" s="53"/>
      <c r="Y18" s="53"/>
      <c r="Z18" s="1"/>
      <c r="AA18" s="1"/>
      <c r="AB18" s="1"/>
      <c r="AC18" s="1"/>
      <c r="AD18" s="71"/>
      <c r="AE18" s="68"/>
      <c r="AF18" s="68"/>
      <c r="AG18" s="68"/>
      <c r="AH18" s="68"/>
      <c r="AI18" s="68"/>
      <c r="AJ18" s="53"/>
      <c r="AK18" s="53"/>
      <c r="AL18" s="1"/>
    </row>
    <row r="19" spans="1:38" s="7" customFormat="1" ht="15.75">
      <c r="E19" s="300"/>
      <c r="F19" s="300"/>
      <c r="G19" s="242"/>
      <c r="H19" s="298"/>
      <c r="I19" s="298"/>
      <c r="J19" s="298"/>
      <c r="K19" s="70"/>
      <c r="L19" s="36"/>
      <c r="M19" s="36"/>
      <c r="O19" s="68"/>
      <c r="P19" s="68"/>
      <c r="Q19" s="68"/>
      <c r="R19" s="68"/>
      <c r="S19" s="68"/>
      <c r="T19" s="68"/>
      <c r="U19" s="68"/>
      <c r="V19" s="68"/>
      <c r="W19" s="68"/>
      <c r="X19" s="53"/>
      <c r="Y19" s="53"/>
      <c r="Z19" s="1"/>
      <c r="AA19" s="1"/>
      <c r="AB19" s="1"/>
      <c r="AC19" s="1"/>
      <c r="AD19" s="68"/>
      <c r="AE19" s="68"/>
      <c r="AF19" s="68"/>
      <c r="AG19" s="68"/>
      <c r="AH19" s="68"/>
      <c r="AI19" s="68"/>
      <c r="AJ19" s="53"/>
      <c r="AK19" s="53"/>
      <c r="AL19" s="1"/>
    </row>
    <row r="20" spans="1:38" s="7" customFormat="1" ht="15.75">
      <c r="A20" s="301"/>
      <c r="B20" s="259"/>
      <c r="C20" s="259"/>
      <c r="D20" s="259"/>
      <c r="E20" s="300"/>
      <c r="F20" s="300"/>
      <c r="G20" s="242"/>
      <c r="H20" s="298"/>
      <c r="I20" s="298"/>
      <c r="J20" s="298"/>
      <c r="K20" s="70"/>
      <c r="L20" s="36"/>
      <c r="M20" s="36"/>
      <c r="N20" s="68"/>
      <c r="O20" s="107" t="s">
        <v>83</v>
      </c>
      <c r="P20" s="106">
        <f>I114</f>
        <v>54.599999999999994</v>
      </c>
      <c r="Q20" s="68"/>
      <c r="R20" s="68"/>
      <c r="S20" s="68"/>
      <c r="T20" s="68"/>
      <c r="U20" s="68"/>
      <c r="V20" s="68"/>
      <c r="W20" s="68"/>
      <c r="X20" s="53"/>
      <c r="Y20" s="53"/>
      <c r="Z20" s="1"/>
      <c r="AA20" s="1"/>
      <c r="AB20" s="1"/>
      <c r="AC20" s="1"/>
      <c r="AD20" s="68"/>
      <c r="AE20" s="1"/>
      <c r="AF20" s="1"/>
      <c r="AG20" s="1"/>
      <c r="AH20" s="1"/>
      <c r="AI20" s="68"/>
      <c r="AJ20" s="53"/>
      <c r="AK20" s="53"/>
      <c r="AL20" s="1"/>
    </row>
    <row r="21" spans="1:38" s="7" customFormat="1" ht="18" customHeight="1">
      <c r="A21" s="308" t="s">
        <v>57</v>
      </c>
      <c r="B21" s="781" t="s">
        <v>414</v>
      </c>
      <c r="C21" s="799"/>
      <c r="D21" s="800"/>
      <c r="E21" s="309">
        <f>IF(ISBLANK('Site Evaluation'!H59),"",'Site Evaluation'!H59)</f>
        <v>4</v>
      </c>
      <c r="F21" s="244" t="s">
        <v>128</v>
      </c>
      <c r="G21" s="244"/>
      <c r="H21" s="298"/>
      <c r="I21" s="298"/>
      <c r="J21" s="298"/>
      <c r="K21" s="70"/>
      <c r="L21" s="36"/>
      <c r="M21" s="36"/>
      <c r="N21" s="68"/>
      <c r="O21" s="68"/>
      <c r="P21" s="68"/>
      <c r="Q21" s="68"/>
      <c r="R21" s="68"/>
      <c r="S21" s="68"/>
      <c r="T21" s="68"/>
      <c r="U21" s="68"/>
      <c r="V21" s="68"/>
      <c r="W21" s="68"/>
      <c r="X21" s="53"/>
      <c r="Y21" s="53"/>
      <c r="Z21" s="1"/>
      <c r="AA21" s="1"/>
      <c r="AB21" s="1"/>
      <c r="AC21" s="1"/>
      <c r="AD21" s="58"/>
      <c r="AE21" s="58"/>
      <c r="AF21" s="58"/>
      <c r="AG21" s="58"/>
      <c r="AH21" s="58"/>
      <c r="AI21" s="58"/>
      <c r="AJ21" s="58"/>
      <c r="AK21" s="58"/>
    </row>
    <row r="22" spans="1:38" s="7" customFormat="1" ht="18" customHeight="1">
      <c r="A22" s="308" t="s">
        <v>64</v>
      </c>
      <c r="B22" s="801" t="s">
        <v>127</v>
      </c>
      <c r="C22" s="799"/>
      <c r="D22" s="800"/>
      <c r="E22" s="435" t="str">
        <f>IF(DropDownList!N3=1,PercTest!H15,"NA")</f>
        <v>NA</v>
      </c>
      <c r="F22" s="244" t="s">
        <v>29</v>
      </c>
      <c r="G22" s="244"/>
      <c r="H22" s="298"/>
      <c r="I22" s="298"/>
      <c r="J22" s="298"/>
      <c r="K22" s="70"/>
      <c r="L22" s="36"/>
      <c r="M22" s="36"/>
      <c r="N22" s="68"/>
      <c r="O22" s="68"/>
      <c r="P22" s="68"/>
      <c r="Q22" s="68"/>
      <c r="T22" s="68"/>
      <c r="U22" s="68"/>
      <c r="V22" s="68"/>
      <c r="W22" s="68"/>
      <c r="X22" s="53"/>
      <c r="Y22" s="53"/>
      <c r="Z22" s="1"/>
      <c r="AA22" s="1"/>
      <c r="AB22" s="1"/>
      <c r="AC22" s="1"/>
      <c r="AD22" s="58"/>
      <c r="AE22" s="58"/>
      <c r="AF22" s="58"/>
      <c r="AG22" s="58"/>
      <c r="AH22" s="58"/>
      <c r="AI22" s="58"/>
      <c r="AJ22" s="58"/>
      <c r="AK22" s="58"/>
    </row>
    <row r="23" spans="1:38" s="7" customFormat="1" ht="18" customHeight="1">
      <c r="A23" s="308" t="s">
        <v>63</v>
      </c>
      <c r="B23" s="781" t="s">
        <v>126</v>
      </c>
      <c r="C23" s="799"/>
      <c r="D23" s="800"/>
      <c r="E23" s="306" t="str">
        <f>IF(ISBLANK('Site Evaluation'!C47),"",'Site Evaluation'!C47)</f>
        <v>Clay Loam</v>
      </c>
      <c r="F23" s="244"/>
      <c r="G23" s="242"/>
      <c r="H23" s="298"/>
      <c r="I23" s="298"/>
      <c r="J23" s="298"/>
      <c r="K23" s="70"/>
      <c r="L23" s="36"/>
      <c r="M23" s="36"/>
      <c r="N23" s="68"/>
      <c r="O23" s="68"/>
      <c r="P23" s="68"/>
      <c r="Q23" s="68"/>
      <c r="R23" s="68"/>
      <c r="S23" s="18"/>
      <c r="T23" s="68"/>
      <c r="U23" s="68"/>
      <c r="V23" s="68"/>
      <c r="W23" s="68"/>
      <c r="X23" s="53"/>
      <c r="Y23" s="53"/>
      <c r="Z23" s="1"/>
      <c r="AA23" s="1"/>
      <c r="AB23" s="1"/>
      <c r="AC23" s="1"/>
      <c r="AD23" s="53"/>
      <c r="AE23" s="53"/>
      <c r="AF23" s="53"/>
      <c r="AG23" s="53"/>
      <c r="AH23" s="53"/>
      <c r="AI23" s="53"/>
      <c r="AJ23" s="53"/>
      <c r="AK23" s="53"/>
      <c r="AL23" s="1"/>
    </row>
    <row r="24" spans="1:38" s="7" customFormat="1" ht="18" customHeight="1">
      <c r="A24" s="308" t="s">
        <v>37</v>
      </c>
      <c r="B24" s="781" t="s">
        <v>497</v>
      </c>
      <c r="C24" s="799"/>
      <c r="D24" s="800"/>
      <c r="E24" s="310">
        <f>IF(ISBLANK('Site Evaluation'!J71),"",'Site Evaluation'!J71)</f>
        <v>0.45</v>
      </c>
      <c r="F24" s="244" t="s">
        <v>592</v>
      </c>
      <c r="G24" s="244"/>
      <c r="H24" s="298"/>
      <c r="I24" s="298"/>
      <c r="J24" s="298"/>
      <c r="K24" s="70"/>
      <c r="L24" s="36"/>
      <c r="M24" s="36"/>
      <c r="N24" s="68"/>
      <c r="O24" s="68"/>
      <c r="P24" s="68"/>
      <c r="Q24" s="68"/>
      <c r="R24" s="68"/>
      <c r="S24" s="68"/>
      <c r="T24" s="68"/>
      <c r="U24" s="68"/>
      <c r="V24" s="68"/>
      <c r="W24" s="68"/>
      <c r="X24" s="53"/>
      <c r="Y24" s="53"/>
      <c r="Z24" s="1"/>
      <c r="AA24" s="1"/>
      <c r="AB24" s="1"/>
      <c r="AC24" s="1"/>
      <c r="AD24" s="53"/>
      <c r="AE24" s="53"/>
      <c r="AF24" s="53"/>
      <c r="AG24" s="53"/>
      <c r="AH24" s="53"/>
      <c r="AI24" s="53"/>
      <c r="AJ24" s="53"/>
      <c r="AK24" s="53"/>
      <c r="AL24" s="1"/>
    </row>
    <row r="25" spans="1:38" ht="18" customHeight="1">
      <c r="A25" s="308" t="s">
        <v>123</v>
      </c>
      <c r="B25" s="781" t="s">
        <v>125</v>
      </c>
      <c r="C25" s="799"/>
      <c r="D25" s="800"/>
      <c r="E25" s="246">
        <f>IF(DropDownList!N2=1,'Site Evaluation'!H69,'Site Evaluation'!E71)</f>
        <v>45</v>
      </c>
      <c r="F25" s="244" t="s">
        <v>124</v>
      </c>
      <c r="G25" s="244"/>
      <c r="H25" s="298"/>
      <c r="I25" s="298"/>
      <c r="J25" s="298"/>
      <c r="K25" s="70"/>
      <c r="L25" s="18"/>
      <c r="M25" s="18"/>
      <c r="N25" s="68"/>
      <c r="O25" s="18"/>
      <c r="P25" s="18"/>
      <c r="Q25" s="18"/>
      <c r="R25" s="18"/>
      <c r="S25" s="18"/>
      <c r="T25" s="18"/>
      <c r="U25" s="18"/>
      <c r="V25" s="18"/>
      <c r="W25" s="68"/>
      <c r="X25" s="53"/>
      <c r="Y25" s="53"/>
      <c r="AD25" s="53"/>
      <c r="AE25" s="53"/>
      <c r="AF25" s="53"/>
      <c r="AG25" s="53"/>
      <c r="AH25" s="53"/>
      <c r="AI25" s="53"/>
      <c r="AJ25" s="53"/>
      <c r="AK25" s="53"/>
    </row>
    <row r="26" spans="1:38" ht="18" customHeight="1">
      <c r="A26" s="308" t="s">
        <v>214</v>
      </c>
      <c r="B26" s="781" t="s">
        <v>122</v>
      </c>
      <c r="C26" s="799"/>
      <c r="D26" s="800"/>
      <c r="E26" s="311">
        <f>IF(ISBLANK('Site Evaluation'!E61),"",'Site Evaluation'!E61)</f>
        <v>3</v>
      </c>
      <c r="F26" s="244" t="s">
        <v>121</v>
      </c>
      <c r="G26" s="244"/>
      <c r="H26" s="298"/>
      <c r="I26" s="298"/>
      <c r="J26" s="298"/>
      <c r="K26" s="70"/>
      <c r="L26" s="18"/>
      <c r="M26" s="18"/>
      <c r="N26" s="68"/>
      <c r="O26" s="68"/>
      <c r="P26" s="68"/>
      <c r="Q26" s="68"/>
      <c r="R26" s="68"/>
      <c r="S26" s="68"/>
      <c r="T26" s="68"/>
      <c r="U26" s="68"/>
      <c r="V26" s="68"/>
      <c r="W26" s="68"/>
      <c r="X26" s="53"/>
      <c r="Y26" s="53"/>
      <c r="AD26" s="53"/>
      <c r="AE26" s="53"/>
      <c r="AF26" s="53"/>
      <c r="AG26" s="53"/>
      <c r="AH26" s="53"/>
      <c r="AI26" s="53"/>
      <c r="AJ26" s="53"/>
      <c r="AK26" s="53"/>
    </row>
    <row r="27" spans="1:38" ht="15.75">
      <c r="A27" s="299"/>
      <c r="B27" s="242"/>
      <c r="C27" s="242"/>
      <c r="D27" s="242"/>
      <c r="E27" s="242"/>
      <c r="F27" s="242"/>
      <c r="G27" s="242"/>
      <c r="H27" s="242"/>
      <c r="I27" s="242"/>
      <c r="J27" s="242"/>
      <c r="K27" s="68"/>
      <c r="L27" s="18"/>
      <c r="M27" s="18"/>
      <c r="N27" s="68"/>
      <c r="O27" s="68"/>
      <c r="P27" s="68"/>
      <c r="Q27" s="68"/>
      <c r="R27" s="68"/>
      <c r="S27" s="68"/>
      <c r="T27" s="68"/>
      <c r="U27" s="68"/>
      <c r="V27" s="68"/>
      <c r="X27" s="53"/>
      <c r="Y27" s="53"/>
      <c r="AD27" s="53"/>
      <c r="AE27" s="53"/>
      <c r="AF27" s="53"/>
      <c r="AG27" s="53"/>
      <c r="AH27" s="53"/>
      <c r="AI27" s="53"/>
      <c r="AJ27" s="53"/>
      <c r="AK27" s="53"/>
    </row>
    <row r="28" spans="1:38" ht="19.5" customHeight="1">
      <c r="A28" s="349" t="s">
        <v>120</v>
      </c>
      <c r="B28" s="350" t="s">
        <v>119</v>
      </c>
      <c r="C28" s="350"/>
      <c r="D28" s="353"/>
      <c r="E28" s="353"/>
      <c r="F28" s="353"/>
      <c r="G28" s="353"/>
      <c r="H28" s="353"/>
      <c r="I28" s="353"/>
      <c r="J28" s="355"/>
      <c r="K28" s="68"/>
      <c r="L28" s="18"/>
      <c r="M28" s="18"/>
      <c r="N28" s="36"/>
      <c r="O28" s="36"/>
      <c r="P28" s="36"/>
      <c r="Q28" s="36"/>
      <c r="R28" s="36"/>
      <c r="S28" s="36"/>
      <c r="T28" s="36"/>
      <c r="U28" s="36"/>
      <c r="V28" s="36"/>
      <c r="W28" s="68"/>
      <c r="X28" s="53"/>
      <c r="Y28" s="53"/>
      <c r="AD28" s="53"/>
      <c r="AE28" s="53"/>
      <c r="AF28" s="53"/>
      <c r="AG28" s="53"/>
      <c r="AH28" s="53"/>
      <c r="AI28" s="53"/>
      <c r="AJ28" s="53"/>
      <c r="AK28" s="53"/>
    </row>
    <row r="29" spans="1:38" ht="15.75">
      <c r="A29" s="299"/>
      <c r="B29" s="242"/>
      <c r="C29" s="242"/>
      <c r="D29" s="242"/>
      <c r="E29" s="242"/>
      <c r="F29" s="242"/>
      <c r="G29" s="242"/>
      <c r="H29" s="242"/>
      <c r="I29" s="242"/>
      <c r="J29" s="242"/>
      <c r="K29" s="68"/>
      <c r="L29" s="18"/>
      <c r="M29" s="18"/>
      <c r="N29" s="99"/>
      <c r="O29" s="68"/>
      <c r="P29" s="68"/>
      <c r="Q29" s="99"/>
      <c r="R29" s="99"/>
      <c r="S29" s="68"/>
      <c r="T29" s="68"/>
      <c r="U29" s="68"/>
      <c r="V29" s="70"/>
      <c r="W29" s="68"/>
      <c r="X29" s="53"/>
      <c r="Y29" s="53"/>
      <c r="AD29" s="53"/>
      <c r="AE29" s="53"/>
      <c r="AF29" s="53"/>
      <c r="AG29" s="53"/>
      <c r="AH29" s="53"/>
      <c r="AI29" s="53"/>
      <c r="AJ29" s="53"/>
      <c r="AK29" s="53"/>
    </row>
    <row r="30" spans="1:38" s="4" customFormat="1" ht="15.75">
      <c r="D30" s="300"/>
      <c r="E30" s="300"/>
      <c r="F30" s="300"/>
      <c r="G30" s="300"/>
      <c r="H30" s="300"/>
      <c r="I30" s="242"/>
      <c r="J30" s="242"/>
      <c r="K30" s="68"/>
      <c r="L30" s="18"/>
      <c r="M30" s="18"/>
      <c r="N30" s="99"/>
      <c r="O30" s="107" t="s">
        <v>109</v>
      </c>
      <c r="P30" s="107"/>
      <c r="Q30" s="99"/>
      <c r="R30" s="99"/>
      <c r="S30" s="68"/>
      <c r="T30" s="68"/>
      <c r="U30" s="68"/>
      <c r="V30" s="70"/>
      <c r="W30" s="68"/>
      <c r="X30" s="53"/>
      <c r="Y30" s="53"/>
      <c r="Z30" s="1"/>
      <c r="AA30" s="1"/>
      <c r="AB30" s="1"/>
      <c r="AC30" s="1"/>
      <c r="AD30" s="53"/>
      <c r="AE30" s="53"/>
      <c r="AF30" s="53"/>
      <c r="AG30" s="53"/>
      <c r="AH30" s="53"/>
      <c r="AI30" s="53"/>
      <c r="AJ30" s="53"/>
      <c r="AK30" s="53"/>
      <c r="AL30" s="1"/>
    </row>
    <row r="31" spans="1:38" ht="15.75">
      <c r="A31" s="301"/>
      <c r="B31" s="300"/>
      <c r="C31" s="300"/>
      <c r="D31" s="300"/>
      <c r="E31" s="300"/>
      <c r="F31" s="300"/>
      <c r="G31" s="300"/>
      <c r="H31" s="300"/>
      <c r="I31" s="242"/>
      <c r="J31" s="242"/>
      <c r="K31" s="68"/>
      <c r="L31" s="18"/>
      <c r="M31" s="18"/>
      <c r="N31" s="99"/>
      <c r="O31" s="18"/>
      <c r="P31" s="68"/>
      <c r="Q31" s="99"/>
      <c r="R31" s="99"/>
      <c r="S31" s="68"/>
      <c r="T31" s="68"/>
      <c r="U31" s="68"/>
      <c r="V31" s="70"/>
      <c r="W31" s="68"/>
      <c r="X31" s="53"/>
      <c r="Y31" s="53"/>
      <c r="AD31" s="53"/>
      <c r="AE31" s="53"/>
      <c r="AF31" s="53"/>
      <c r="AG31" s="53"/>
      <c r="AH31" s="53"/>
      <c r="AI31" s="53"/>
      <c r="AJ31" s="53"/>
      <c r="AK31" s="53"/>
    </row>
    <row r="32" spans="1:38" ht="15.75">
      <c r="A32" s="308" t="s">
        <v>57</v>
      </c>
      <c r="B32" s="244" t="s">
        <v>593</v>
      </c>
      <c r="C32" s="244"/>
      <c r="D32" s="244"/>
      <c r="E32" s="244"/>
      <c r="F32" s="244"/>
      <c r="G32" s="244"/>
      <c r="H32" s="244"/>
      <c r="I32" s="244"/>
      <c r="J32" s="244"/>
      <c r="K32" s="18"/>
      <c r="L32" s="18"/>
      <c r="M32" s="18"/>
      <c r="N32" s="99"/>
      <c r="O32" s="18"/>
      <c r="P32" s="68"/>
      <c r="Q32" s="99"/>
      <c r="R32" s="99"/>
      <c r="S32" s="68"/>
      <c r="T32" s="68"/>
      <c r="U32" s="68"/>
      <c r="V32" s="70"/>
      <c r="W32" s="68"/>
      <c r="X32" s="53"/>
      <c r="Y32" s="53"/>
      <c r="AD32" s="53"/>
      <c r="AE32" s="53"/>
      <c r="AF32" s="53"/>
      <c r="AG32" s="53"/>
      <c r="AH32" s="53"/>
      <c r="AI32" s="53"/>
      <c r="AJ32" s="53"/>
      <c r="AK32" s="53"/>
    </row>
    <row r="33" spans="1:38" s="7" customFormat="1" ht="14.25" customHeight="1" thickBot="1">
      <c r="A33" s="308"/>
      <c r="B33" s="244"/>
      <c r="C33" s="244"/>
      <c r="D33" s="244"/>
      <c r="E33" s="244"/>
      <c r="F33" s="244"/>
      <c r="G33" s="244"/>
      <c r="H33" s="244"/>
      <c r="I33" s="242"/>
      <c r="J33" s="242"/>
      <c r="K33" s="36"/>
      <c r="L33" s="18"/>
      <c r="M33" s="18"/>
      <c r="N33" s="99"/>
      <c r="O33" s="68"/>
      <c r="P33" s="68"/>
      <c r="Q33" s="99"/>
      <c r="R33" s="68"/>
      <c r="S33" s="68"/>
      <c r="T33" s="68"/>
      <c r="U33" s="68"/>
      <c r="V33" s="68"/>
      <c r="W33" s="68"/>
      <c r="X33" s="53"/>
      <c r="Y33" s="53"/>
      <c r="Z33" s="1"/>
      <c r="AA33" s="1"/>
      <c r="AB33" s="1"/>
      <c r="AC33" s="1"/>
      <c r="AD33" s="53"/>
      <c r="AE33" s="53"/>
      <c r="AF33" s="53"/>
      <c r="AG33" s="53"/>
      <c r="AH33" s="53"/>
      <c r="AI33" s="53"/>
      <c r="AJ33" s="53"/>
      <c r="AK33" s="53"/>
      <c r="AL33" s="1"/>
    </row>
    <row r="34" spans="1:38" ht="19.5" thickBot="1">
      <c r="A34" s="308"/>
      <c r="B34" s="244"/>
      <c r="C34" s="312">
        <f>IF(ISBLANK(D8),D7,F8)</f>
        <v>450</v>
      </c>
      <c r="D34" s="244" t="s">
        <v>594</v>
      </c>
      <c r="E34" s="259" t="s">
        <v>65</v>
      </c>
      <c r="F34" s="313">
        <f>CEILING(C34*0.83,10)</f>
        <v>380</v>
      </c>
      <c r="G34" s="244" t="s">
        <v>595</v>
      </c>
      <c r="H34" s="244"/>
      <c r="I34" s="242"/>
      <c r="J34" s="242"/>
      <c r="K34" s="18"/>
      <c r="L34" s="110"/>
      <c r="M34" s="110"/>
      <c r="N34" s="99"/>
      <c r="O34" s="68"/>
      <c r="P34" s="68"/>
      <c r="Q34" s="99"/>
      <c r="R34" s="68"/>
      <c r="S34" s="68"/>
      <c r="T34" s="68"/>
      <c r="U34" s="68"/>
      <c r="V34" s="68"/>
      <c r="W34" s="68"/>
      <c r="X34" s="53"/>
      <c r="Y34" s="53"/>
      <c r="AD34" s="53"/>
      <c r="AE34" s="53"/>
      <c r="AF34" s="53"/>
      <c r="AG34" s="53"/>
      <c r="AH34" s="53"/>
      <c r="AI34" s="53"/>
      <c r="AJ34" s="53"/>
      <c r="AK34" s="53"/>
    </row>
    <row r="35" spans="1:38" ht="21" customHeight="1">
      <c r="A35" s="308"/>
      <c r="B35" s="244"/>
      <c r="C35" s="244"/>
      <c r="D35" s="244"/>
      <c r="E35" s="244"/>
      <c r="F35" s="244"/>
      <c r="G35" s="244"/>
      <c r="H35" s="244"/>
      <c r="I35" s="298"/>
      <c r="J35" s="298"/>
      <c r="K35" s="18"/>
      <c r="L35" s="18"/>
      <c r="M35" s="18"/>
      <c r="N35" s="105">
        <f>F66</f>
        <v>1</v>
      </c>
      <c r="O35" s="68"/>
      <c r="P35" s="68"/>
      <c r="Q35" s="99"/>
      <c r="R35" s="99"/>
      <c r="S35" s="18"/>
      <c r="T35" s="18"/>
      <c r="U35" s="18"/>
      <c r="V35" s="68"/>
      <c r="W35" s="68"/>
      <c r="X35" s="53"/>
      <c r="Y35" s="53"/>
      <c r="AD35" s="53"/>
      <c r="AE35" s="53"/>
      <c r="AF35" s="53"/>
      <c r="AG35" s="53"/>
      <c r="AH35" s="53"/>
      <c r="AI35" s="53"/>
      <c r="AJ35" s="53"/>
      <c r="AK35" s="53"/>
    </row>
    <row r="36" spans="1:38" ht="15.75">
      <c r="A36" s="308" t="s">
        <v>64</v>
      </c>
      <c r="B36" s="244" t="s">
        <v>596</v>
      </c>
      <c r="C36" s="244"/>
      <c r="D36" s="244"/>
      <c r="E36" s="244"/>
      <c r="F36" s="244"/>
      <c r="G36" s="244"/>
      <c r="H36" s="244"/>
      <c r="I36" s="298"/>
      <c r="J36" s="298"/>
      <c r="K36" s="18"/>
      <c r="L36" s="18"/>
      <c r="M36" s="18"/>
      <c r="O36" s="68"/>
      <c r="P36" s="68"/>
      <c r="Q36" s="99"/>
      <c r="R36" s="99"/>
      <c r="S36" s="70"/>
      <c r="T36" s="68"/>
      <c r="U36" s="18"/>
      <c r="V36" s="68"/>
      <c r="W36" s="68"/>
      <c r="X36" s="53"/>
      <c r="Y36" s="53"/>
      <c r="AD36" s="53"/>
      <c r="AE36" s="53"/>
      <c r="AF36" s="53"/>
      <c r="AG36" s="53"/>
      <c r="AH36" s="53"/>
      <c r="AI36" s="53"/>
      <c r="AJ36" s="53"/>
      <c r="AK36" s="53"/>
    </row>
    <row r="37" spans="1:38" ht="21" customHeight="1" thickBot="1">
      <c r="A37" s="308"/>
      <c r="B37" s="314" t="s">
        <v>463</v>
      </c>
      <c r="C37" s="244"/>
      <c r="D37" s="244"/>
      <c r="E37" s="244"/>
      <c r="F37" s="244"/>
      <c r="G37" s="244"/>
      <c r="H37" s="244"/>
      <c r="I37" s="242"/>
      <c r="J37" s="242"/>
      <c r="K37" s="820"/>
      <c r="L37" s="820"/>
      <c r="M37" s="820"/>
      <c r="N37" s="105">
        <f>E21</f>
        <v>4</v>
      </c>
      <c r="P37" s="108"/>
      <c r="Q37" s="109"/>
      <c r="R37" s="99"/>
      <c r="S37" s="68"/>
      <c r="T37" s="68"/>
      <c r="U37" s="68"/>
      <c r="V37" s="70"/>
      <c r="W37" s="68"/>
      <c r="X37" s="53"/>
      <c r="Y37" s="53"/>
      <c r="AD37" s="53"/>
      <c r="AE37" s="53"/>
      <c r="AF37" s="53"/>
      <c r="AG37" s="53"/>
      <c r="AH37" s="53"/>
      <c r="AI37" s="53"/>
      <c r="AJ37" s="53"/>
      <c r="AK37" s="53"/>
    </row>
    <row r="38" spans="1:38" ht="19.5" thickBot="1">
      <c r="A38" s="302"/>
      <c r="B38" s="244"/>
      <c r="C38" s="244" t="s">
        <v>597</v>
      </c>
      <c r="D38" s="244"/>
      <c r="E38" s="311">
        <f>IF(E25&gt;=120,6,12)</f>
        <v>12</v>
      </c>
      <c r="F38" s="259" t="s">
        <v>65</v>
      </c>
      <c r="G38" s="315">
        <f>ROUND(0.83*E38,0)</f>
        <v>10</v>
      </c>
      <c r="H38" s="244" t="s">
        <v>26</v>
      </c>
      <c r="I38" s="242"/>
      <c r="J38" s="242"/>
      <c r="K38" s="18"/>
      <c r="L38" s="18"/>
      <c r="M38" s="111">
        <f>G80</f>
        <v>8.2999999999999989</v>
      </c>
      <c r="O38" s="105">
        <f>G38</f>
        <v>10</v>
      </c>
      <c r="P38" s="105">
        <f>G104</f>
        <v>17</v>
      </c>
      <c r="Q38" s="517"/>
      <c r="R38" s="68"/>
      <c r="S38" s="68"/>
      <c r="T38" s="68"/>
      <c r="U38" s="68"/>
      <c r="V38" s="68"/>
      <c r="W38" s="68"/>
      <c r="AD38" s="53"/>
      <c r="AE38" s="53"/>
      <c r="AF38" s="53"/>
      <c r="AG38" s="53"/>
      <c r="AH38" s="53"/>
      <c r="AI38" s="53"/>
      <c r="AJ38" s="53"/>
      <c r="AK38" s="53"/>
    </row>
    <row r="39" spans="1:38" ht="19.5" customHeight="1">
      <c r="A39" s="302"/>
      <c r="B39" s="244"/>
      <c r="C39" s="244"/>
      <c r="D39" s="244"/>
      <c r="E39" s="244"/>
      <c r="F39" s="244"/>
      <c r="G39" s="244"/>
      <c r="H39" s="244"/>
      <c r="I39" s="242"/>
      <c r="J39" s="242"/>
      <c r="K39" s="18"/>
      <c r="L39" s="18"/>
      <c r="M39" s="18"/>
      <c r="N39" s="68"/>
      <c r="O39" s="68"/>
      <c r="P39" s="68"/>
      <c r="Q39" s="68"/>
      <c r="R39" s="68"/>
      <c r="S39" s="68"/>
      <c r="T39" s="68"/>
      <c r="U39" s="68"/>
      <c r="V39" s="68"/>
      <c r="W39" s="68"/>
      <c r="AD39" s="53"/>
      <c r="AE39" s="53"/>
      <c r="AF39" s="53"/>
      <c r="AG39" s="53"/>
      <c r="AH39" s="53"/>
      <c r="AI39" s="53"/>
      <c r="AJ39" s="53"/>
      <c r="AK39" s="53"/>
    </row>
    <row r="40" spans="1:38" ht="20.25" customHeight="1">
      <c r="A40" s="308" t="s">
        <v>63</v>
      </c>
      <c r="B40" s="300" t="s">
        <v>442</v>
      </c>
      <c r="C40" s="244"/>
      <c r="D40" s="244"/>
      <c r="E40" s="244"/>
      <c r="F40" s="244"/>
      <c r="G40" s="244"/>
      <c r="H40" s="244"/>
      <c r="I40" s="242"/>
      <c r="J40" s="242"/>
      <c r="K40" s="18"/>
      <c r="L40" s="18"/>
      <c r="M40" s="18"/>
      <c r="N40" s="68"/>
      <c r="O40" s="68"/>
      <c r="P40" s="105">
        <f>F50</f>
        <v>27</v>
      </c>
      <c r="Q40" s="68"/>
      <c r="R40" s="68"/>
      <c r="S40" s="68"/>
      <c r="T40" s="68"/>
      <c r="U40" s="68"/>
      <c r="V40" s="68"/>
      <c r="W40" s="68"/>
      <c r="AD40" s="53"/>
      <c r="AE40" s="53"/>
      <c r="AF40" s="53"/>
      <c r="AG40" s="53"/>
      <c r="AH40" s="53"/>
      <c r="AI40" s="53"/>
      <c r="AJ40" s="53"/>
      <c r="AK40" s="53"/>
    </row>
    <row r="41" spans="1:38" ht="20.25" customHeight="1" thickBot="1">
      <c r="A41" s="308"/>
      <c r="B41" s="244"/>
      <c r="C41" s="244"/>
      <c r="D41" s="244"/>
      <c r="E41" s="244"/>
      <c r="F41" s="244"/>
      <c r="G41" s="244"/>
      <c r="H41" s="244"/>
      <c r="I41" s="242"/>
      <c r="J41" s="242"/>
      <c r="K41" s="18"/>
      <c r="L41" s="18"/>
      <c r="M41" s="18"/>
      <c r="P41" s="107" t="s">
        <v>101</v>
      </c>
      <c r="Q41" s="68"/>
      <c r="S41" s="68"/>
      <c r="T41" s="68"/>
      <c r="U41" s="68"/>
      <c r="V41" s="68"/>
      <c r="W41" s="18"/>
      <c r="AD41" s="60"/>
      <c r="AE41" s="60"/>
      <c r="AF41" s="53"/>
      <c r="AG41" s="53"/>
      <c r="AH41" s="58"/>
      <c r="AI41" s="58"/>
      <c r="AJ41" s="58"/>
      <c r="AK41" s="58"/>
      <c r="AL41" s="7"/>
    </row>
    <row r="42" spans="1:38" ht="20.25" customHeight="1" thickBot="1">
      <c r="A42" s="302"/>
      <c r="B42" s="244"/>
      <c r="C42" s="309">
        <f>F34</f>
        <v>380</v>
      </c>
      <c r="D42" s="244" t="s">
        <v>598</v>
      </c>
      <c r="E42" s="309">
        <f>G38</f>
        <v>10</v>
      </c>
      <c r="F42" s="244" t="s">
        <v>118</v>
      </c>
      <c r="G42" s="315">
        <f>IF(C42=0,0,C42/E42)</f>
        <v>38</v>
      </c>
      <c r="H42" s="244" t="s">
        <v>26</v>
      </c>
      <c r="I42" s="242"/>
      <c r="J42" s="242"/>
      <c r="K42" s="18"/>
      <c r="L42" s="18"/>
      <c r="M42" s="18"/>
      <c r="N42" s="68"/>
      <c r="O42" s="68"/>
      <c r="P42" s="68"/>
      <c r="Q42" s="68"/>
      <c r="R42" s="68"/>
      <c r="S42" s="68"/>
      <c r="T42" s="68"/>
      <c r="U42" s="68"/>
      <c r="V42" s="68"/>
      <c r="W42" s="18"/>
      <c r="AC42" s="60"/>
      <c r="AD42" s="60"/>
      <c r="AE42" s="60"/>
      <c r="AF42" s="53"/>
      <c r="AG42" s="53"/>
      <c r="AH42" s="58"/>
      <c r="AI42" s="58"/>
      <c r="AJ42" s="58"/>
      <c r="AK42" s="58"/>
      <c r="AL42" s="7"/>
    </row>
    <row r="43" spans="1:38" ht="14.25" customHeight="1">
      <c r="A43" s="302"/>
      <c r="B43" s="244"/>
      <c r="C43" s="316"/>
      <c r="D43" s="244"/>
      <c r="E43" s="316"/>
      <c r="F43" s="244"/>
      <c r="G43" s="316"/>
      <c r="H43" s="244"/>
      <c r="I43" s="242"/>
      <c r="J43" s="242"/>
      <c r="K43" s="18"/>
      <c r="L43" s="18"/>
      <c r="M43" s="18"/>
      <c r="O43" s="68"/>
      <c r="Q43" s="68"/>
      <c r="R43" s="68"/>
      <c r="T43" s="68"/>
      <c r="U43" s="68"/>
      <c r="V43" s="68"/>
      <c r="W43" s="68"/>
    </row>
    <row r="44" spans="1:38" ht="19.5" customHeight="1">
      <c r="A44" s="349" t="s">
        <v>117</v>
      </c>
      <c r="B44" s="350" t="s">
        <v>113</v>
      </c>
      <c r="C44" s="350"/>
      <c r="D44" s="353"/>
      <c r="E44" s="353"/>
      <c r="F44" s="353"/>
      <c r="G44" s="353"/>
      <c r="H44" s="353"/>
      <c r="I44" s="353"/>
      <c r="J44" s="355"/>
      <c r="K44" s="18"/>
      <c r="L44" s="18"/>
      <c r="M44" s="18"/>
      <c r="N44" s="103"/>
      <c r="O44" s="68"/>
      <c r="P44" s="105"/>
      <c r="Q44" s="68"/>
      <c r="R44" s="68"/>
      <c r="S44" s="106"/>
      <c r="T44" s="68"/>
      <c r="U44" s="68"/>
      <c r="V44" s="68"/>
      <c r="W44" s="68"/>
    </row>
    <row r="45" spans="1:38" ht="13.5" customHeight="1">
      <c r="A45" s="299"/>
      <c r="B45" s="242"/>
      <c r="C45" s="242"/>
      <c r="D45" s="242"/>
      <c r="E45" s="242"/>
      <c r="F45" s="242"/>
      <c r="G45" s="242"/>
      <c r="H45" s="242"/>
      <c r="I45" s="242"/>
      <c r="J45" s="242"/>
      <c r="K45" s="18"/>
      <c r="L45" s="70" t="s">
        <v>82</v>
      </c>
      <c r="M45" s="70"/>
      <c r="N45" s="68"/>
      <c r="O45" s="68"/>
      <c r="P45" s="68"/>
      <c r="Q45" s="68"/>
      <c r="R45" s="68"/>
      <c r="S45" s="106"/>
      <c r="T45" s="68"/>
      <c r="U45" s="68"/>
      <c r="V45" s="68"/>
      <c r="W45" s="36"/>
    </row>
    <row r="46" spans="1:38" ht="15.75">
      <c r="D46" s="300" t="s">
        <v>112</v>
      </c>
      <c r="E46" s="317">
        <v>2.67</v>
      </c>
      <c r="F46" s="300" t="s">
        <v>445</v>
      </c>
      <c r="G46" s="300"/>
      <c r="H46" s="242"/>
      <c r="I46" s="300"/>
      <c r="J46" s="300"/>
      <c r="K46" s="18"/>
      <c r="L46" s="817"/>
      <c r="M46" s="818"/>
      <c r="N46" s="818"/>
      <c r="O46" s="818"/>
      <c r="P46" s="818"/>
      <c r="Q46" s="818"/>
      <c r="R46" s="819"/>
      <c r="S46" s="89"/>
      <c r="T46" s="68"/>
      <c r="U46" s="68"/>
      <c r="V46" s="68"/>
      <c r="W46" s="70"/>
    </row>
    <row r="47" spans="1:38" ht="15.75">
      <c r="A47" s="301"/>
      <c r="B47" s="300"/>
      <c r="C47" s="300"/>
      <c r="D47" s="300"/>
      <c r="E47" s="245"/>
      <c r="F47" s="300"/>
      <c r="G47" s="300"/>
      <c r="H47" s="242"/>
      <c r="I47" s="300"/>
      <c r="J47" s="300"/>
      <c r="K47" s="18"/>
      <c r="L47" s="811"/>
      <c r="M47" s="812"/>
      <c r="N47" s="812"/>
      <c r="O47" s="812"/>
      <c r="P47" s="812"/>
      <c r="Q47" s="812"/>
      <c r="R47" s="813"/>
      <c r="S47" s="68"/>
      <c r="T47" s="68"/>
      <c r="U47" s="68"/>
      <c r="V47" s="68"/>
      <c r="W47" s="70"/>
    </row>
    <row r="48" spans="1:38" ht="15.75">
      <c r="A48" s="308" t="s">
        <v>111</v>
      </c>
      <c r="B48" s="244" t="s">
        <v>599</v>
      </c>
      <c r="C48" s="244"/>
      <c r="D48" s="244"/>
      <c r="E48" s="244"/>
      <c r="F48" s="244"/>
      <c r="G48" s="244"/>
      <c r="H48" s="242"/>
      <c r="I48" s="244"/>
      <c r="J48" s="244"/>
      <c r="K48" s="18"/>
      <c r="L48" s="811"/>
      <c r="M48" s="812"/>
      <c r="N48" s="812"/>
      <c r="O48" s="812"/>
      <c r="P48" s="812"/>
      <c r="Q48" s="812"/>
      <c r="R48" s="813"/>
      <c r="S48" s="68"/>
      <c r="T48" s="68"/>
      <c r="U48" s="68"/>
      <c r="W48" s="68"/>
    </row>
    <row r="49" spans="1:28" ht="16.5" thickBot="1">
      <c r="A49" s="308"/>
      <c r="B49" s="244"/>
      <c r="C49" s="244"/>
      <c r="D49" s="244"/>
      <c r="E49" s="244"/>
      <c r="F49" s="244"/>
      <c r="G49" s="244"/>
      <c r="H49" s="242"/>
      <c r="I49" s="244"/>
      <c r="J49" s="244"/>
      <c r="K49" s="18"/>
      <c r="L49" s="811"/>
      <c r="M49" s="812"/>
      <c r="N49" s="812"/>
      <c r="O49" s="812"/>
      <c r="P49" s="812"/>
      <c r="Q49" s="812"/>
      <c r="R49" s="813"/>
      <c r="S49" s="68"/>
      <c r="T49" s="68"/>
      <c r="U49" s="68"/>
      <c r="W49" s="68"/>
    </row>
    <row r="50" spans="1:28" ht="16.5" thickBot="1">
      <c r="A50" s="302"/>
      <c r="B50" s="311">
        <f>E46</f>
        <v>2.67</v>
      </c>
      <c r="C50" s="316" t="s">
        <v>85</v>
      </c>
      <c r="D50" s="309">
        <f>G38</f>
        <v>10</v>
      </c>
      <c r="E50" s="318" t="s">
        <v>110</v>
      </c>
      <c r="F50" s="315">
        <f>ROUNDUP((D50*E46),0)</f>
        <v>27</v>
      </c>
      <c r="G50" s="319" t="s">
        <v>26</v>
      </c>
      <c r="H50" s="242"/>
      <c r="I50" s="244"/>
      <c r="J50" s="244"/>
      <c r="K50" s="18"/>
      <c r="L50" s="811"/>
      <c r="M50" s="812"/>
      <c r="N50" s="812"/>
      <c r="O50" s="812"/>
      <c r="P50" s="812"/>
      <c r="Q50" s="812"/>
      <c r="R50" s="813"/>
      <c r="S50" s="68"/>
      <c r="T50" s="68"/>
      <c r="U50" s="68"/>
      <c r="W50" s="68"/>
    </row>
    <row r="51" spans="1:28" ht="15.75">
      <c r="A51" s="302"/>
      <c r="B51" s="302"/>
      <c r="C51" s="302"/>
      <c r="D51" s="302"/>
      <c r="E51" s="302"/>
      <c r="F51" s="302"/>
      <c r="G51" s="319"/>
      <c r="H51" s="242"/>
      <c r="I51" s="244"/>
      <c r="J51" s="244"/>
      <c r="K51" s="18"/>
      <c r="L51" s="814"/>
      <c r="M51" s="815"/>
      <c r="N51" s="815"/>
      <c r="O51" s="815"/>
      <c r="P51" s="815"/>
      <c r="Q51" s="815"/>
      <c r="R51" s="816"/>
      <c r="S51" s="68"/>
      <c r="T51" s="68"/>
      <c r="U51" s="68"/>
      <c r="W51" s="70"/>
    </row>
    <row r="52" spans="1:28" ht="19.5" customHeight="1">
      <c r="A52" s="349" t="s">
        <v>114</v>
      </c>
      <c r="B52" s="350" t="s">
        <v>107</v>
      </c>
      <c r="C52" s="350"/>
      <c r="D52" s="350"/>
      <c r="E52" s="350"/>
      <c r="F52" s="352"/>
      <c r="G52" s="356"/>
      <c r="H52" s="353"/>
      <c r="I52" s="353"/>
      <c r="J52" s="355"/>
      <c r="K52" s="18"/>
      <c r="S52" s="68"/>
      <c r="T52" s="68"/>
      <c r="U52" s="68"/>
      <c r="W52" s="68"/>
    </row>
    <row r="53" spans="1:28" ht="15.75">
      <c r="A53" s="320"/>
      <c r="B53" s="321"/>
      <c r="C53" s="322"/>
      <c r="D53" s="323"/>
      <c r="E53" s="321"/>
      <c r="F53" s="323"/>
      <c r="G53" s="324"/>
      <c r="H53" s="325"/>
      <c r="I53" s="244"/>
      <c r="J53" s="244"/>
      <c r="K53" s="18"/>
      <c r="S53" s="68"/>
      <c r="T53" s="68"/>
      <c r="U53" s="68"/>
      <c r="W53" s="68"/>
    </row>
    <row r="54" spans="1:28" ht="15.75">
      <c r="F54" s="300"/>
      <c r="G54" s="300"/>
      <c r="H54" s="300"/>
      <c r="I54" s="300"/>
      <c r="J54" s="300"/>
      <c r="K54" s="18"/>
      <c r="S54" s="68"/>
      <c r="T54" s="68"/>
      <c r="U54" s="68"/>
      <c r="W54" s="68"/>
    </row>
    <row r="55" spans="1:28" ht="15.75">
      <c r="A55" s="301"/>
      <c r="B55" s="300"/>
      <c r="C55" s="300"/>
      <c r="D55" s="300"/>
      <c r="E55" s="300"/>
      <c r="F55" s="300"/>
      <c r="G55" s="300"/>
      <c r="H55" s="300"/>
      <c r="I55" s="300"/>
      <c r="J55" s="300"/>
      <c r="K55" s="18"/>
      <c r="S55" s="68"/>
      <c r="T55" s="68"/>
      <c r="U55" s="68"/>
      <c r="W55" s="68"/>
    </row>
    <row r="56" spans="1:28" ht="15.75">
      <c r="A56" s="308" t="s">
        <v>57</v>
      </c>
      <c r="B56" s="244" t="s">
        <v>600</v>
      </c>
      <c r="C56" s="244"/>
      <c r="D56" s="244"/>
      <c r="E56" s="244"/>
      <c r="F56" s="244"/>
      <c r="G56" s="244"/>
      <c r="H56" s="244"/>
      <c r="I56" s="244"/>
      <c r="J56" s="244"/>
      <c r="K56" s="18"/>
      <c r="W56" s="68"/>
    </row>
    <row r="57" spans="1:28" ht="16.5" thickBot="1">
      <c r="A57" s="308"/>
      <c r="B57" s="244"/>
      <c r="C57" s="244"/>
      <c r="D57" s="244"/>
      <c r="E57" s="244"/>
      <c r="F57" s="244"/>
      <c r="G57" s="244"/>
      <c r="H57" s="244"/>
      <c r="I57" s="244"/>
      <c r="J57" s="244"/>
      <c r="K57" s="18"/>
      <c r="W57" s="68"/>
    </row>
    <row r="58" spans="1:28" ht="16.5" thickBot="1">
      <c r="A58" s="308"/>
      <c r="B58" s="309">
        <f>F50</f>
        <v>27</v>
      </c>
      <c r="C58" s="244" t="s">
        <v>105</v>
      </c>
      <c r="D58" s="309">
        <f>G38</f>
        <v>10</v>
      </c>
      <c r="E58" s="244" t="s">
        <v>104</v>
      </c>
      <c r="F58" s="315">
        <f>B58-D58</f>
        <v>17</v>
      </c>
      <c r="G58" s="244" t="s">
        <v>26</v>
      </c>
      <c r="H58" s="244"/>
      <c r="I58" s="244"/>
      <c r="J58" s="244"/>
      <c r="K58" s="18"/>
      <c r="W58" s="68"/>
    </row>
    <row r="59" spans="1:28" ht="12" customHeight="1">
      <c r="A59" s="308"/>
      <c r="B59" s="244"/>
      <c r="C59" s="244"/>
      <c r="D59" s="244"/>
      <c r="E59" s="244"/>
      <c r="F59" s="244"/>
      <c r="G59" s="244"/>
      <c r="H59" s="244"/>
      <c r="I59" s="244"/>
      <c r="J59" s="244"/>
      <c r="K59" s="18"/>
      <c r="W59" s="68"/>
    </row>
    <row r="60" spans="1:28" ht="10.5" customHeight="1" thickBot="1">
      <c r="A60" s="326"/>
      <c r="B60" s="327"/>
      <c r="C60" s="327"/>
      <c r="D60" s="327"/>
      <c r="E60" s="327"/>
      <c r="F60" s="327"/>
      <c r="G60" s="327"/>
      <c r="H60" s="327"/>
      <c r="I60" s="327"/>
      <c r="J60" s="327"/>
      <c r="K60" s="18"/>
      <c r="W60" s="68"/>
      <c r="Z60" s="53"/>
      <c r="AA60" s="53"/>
      <c r="AB60" s="53"/>
    </row>
    <row r="61" spans="1:28" ht="16.5" customHeight="1">
      <c r="A61" s="308"/>
      <c r="B61" s="244"/>
      <c r="C61" s="244"/>
      <c r="D61" s="244"/>
      <c r="E61" s="244"/>
      <c r="F61" s="244"/>
      <c r="G61" s="244"/>
      <c r="H61" s="244"/>
      <c r="I61" s="244"/>
      <c r="J61" s="244"/>
      <c r="K61" s="18"/>
      <c r="W61" s="68"/>
    </row>
    <row r="62" spans="1:28" s="7" customFormat="1" ht="15.75">
      <c r="A62" s="308" t="s">
        <v>64</v>
      </c>
      <c r="B62" s="300" t="s">
        <v>446</v>
      </c>
      <c r="C62" s="244"/>
      <c r="D62" s="244"/>
      <c r="E62" s="244"/>
      <c r="F62" s="244"/>
      <c r="G62" s="244"/>
      <c r="H62" s="244"/>
      <c r="I62" s="244"/>
      <c r="J62" s="244"/>
      <c r="K62" s="36"/>
      <c r="W62" s="68"/>
      <c r="X62" s="1"/>
      <c r="Y62" s="1"/>
      <c r="Z62" s="53"/>
    </row>
    <row r="63" spans="1:28" s="7" customFormat="1" ht="15.75">
      <c r="A63" s="308"/>
      <c r="B63" s="300"/>
      <c r="C63" s="244"/>
      <c r="D63" s="244"/>
      <c r="E63" s="244"/>
      <c r="F63" s="244"/>
      <c r="G63" s="244"/>
      <c r="H63" s="244"/>
      <c r="I63" s="244"/>
      <c r="J63" s="244"/>
      <c r="K63" s="36"/>
      <c r="W63" s="68"/>
      <c r="X63" s="1"/>
      <c r="Y63" s="1"/>
    </row>
    <row r="64" spans="1:28" s="7" customFormat="1" ht="15.75">
      <c r="A64" s="308"/>
      <c r="B64" s="244" t="s">
        <v>601</v>
      </c>
      <c r="C64" s="244"/>
      <c r="D64" s="244"/>
      <c r="E64" s="244"/>
      <c r="F64" s="244"/>
      <c r="G64" s="244"/>
      <c r="H64" s="244"/>
      <c r="I64" s="244"/>
      <c r="J64" s="244"/>
      <c r="K64" s="67"/>
      <c r="W64" s="68"/>
      <c r="X64" s="1"/>
      <c r="Y64" s="1"/>
    </row>
    <row r="65" spans="1:26" s="7" customFormat="1" ht="16.5" thickBot="1">
      <c r="A65" s="308"/>
      <c r="B65" s="244"/>
      <c r="C65" s="244"/>
      <c r="D65" s="244"/>
      <c r="E65" s="244"/>
      <c r="F65" s="244"/>
      <c r="G65" s="244"/>
      <c r="H65" s="244"/>
      <c r="I65" s="244"/>
      <c r="J65" s="244"/>
      <c r="K65" s="67"/>
      <c r="L65" s="36"/>
      <c r="M65" s="36"/>
      <c r="N65" s="68"/>
      <c r="O65" s="68"/>
      <c r="P65" s="68"/>
      <c r="Q65" s="18"/>
      <c r="R65" s="18"/>
      <c r="S65" s="68"/>
      <c r="T65" s="68"/>
      <c r="U65" s="68"/>
      <c r="V65" s="68"/>
      <c r="W65" s="68"/>
      <c r="X65" s="1"/>
      <c r="Y65" s="1"/>
    </row>
    <row r="66" spans="1:26" ht="16.5" thickBot="1">
      <c r="A66" s="308"/>
      <c r="B66" s="328">
        <v>3</v>
      </c>
      <c r="C66" s="244" t="s">
        <v>102</v>
      </c>
      <c r="D66" s="309">
        <f>E21</f>
        <v>4</v>
      </c>
      <c r="E66" s="244" t="s">
        <v>79</v>
      </c>
      <c r="F66" s="315">
        <f>IF(3-D66&lt;1,1,3-D66)</f>
        <v>1</v>
      </c>
      <c r="G66" s="244" t="s">
        <v>26</v>
      </c>
      <c r="H66" s="244"/>
      <c r="I66" s="244"/>
      <c r="J66" s="244"/>
      <c r="K66" s="67"/>
      <c r="L66" s="18"/>
      <c r="M66" s="18"/>
      <c r="N66" s="68"/>
      <c r="O66" s="68"/>
      <c r="P66" s="68"/>
      <c r="Q66" s="68"/>
      <c r="R66" s="107"/>
      <c r="S66" s="68"/>
      <c r="T66" s="68"/>
      <c r="U66" s="68"/>
      <c r="V66" s="68"/>
      <c r="W66" s="68"/>
    </row>
    <row r="67" spans="1:26" ht="14.25" customHeight="1">
      <c r="A67" s="302"/>
      <c r="B67" s="242"/>
      <c r="C67" s="242"/>
      <c r="D67" s="242"/>
      <c r="E67" s="242"/>
      <c r="F67" s="242"/>
      <c r="G67" s="242"/>
      <c r="H67" s="242"/>
      <c r="I67" s="244"/>
      <c r="J67" s="244"/>
      <c r="K67" s="67"/>
      <c r="L67" s="18"/>
      <c r="M67" s="18"/>
      <c r="N67" s="68"/>
      <c r="O67" s="68"/>
      <c r="P67" s="68"/>
      <c r="Q67" s="68"/>
      <c r="R67" s="68"/>
      <c r="S67" s="68"/>
      <c r="T67" s="68"/>
      <c r="U67" s="68"/>
      <c r="V67" s="68"/>
      <c r="W67" s="68"/>
    </row>
    <row r="68" spans="1:26" s="7" customFormat="1" ht="15" customHeight="1">
      <c r="A68" s="302"/>
      <c r="B68" s="244" t="s">
        <v>602</v>
      </c>
      <c r="C68" s="244"/>
      <c r="D68" s="244"/>
      <c r="E68" s="244"/>
      <c r="F68" s="244"/>
      <c r="G68" s="244"/>
      <c r="H68" s="244"/>
      <c r="I68" s="244"/>
      <c r="J68" s="244"/>
      <c r="K68" s="67"/>
      <c r="L68" s="36"/>
      <c r="M68" s="36"/>
      <c r="N68" s="18"/>
      <c r="O68" s="18"/>
      <c r="P68" s="18"/>
      <c r="Q68" s="18"/>
      <c r="R68" s="18"/>
      <c r="S68" s="18"/>
      <c r="T68" s="18"/>
      <c r="U68" s="18"/>
      <c r="V68" s="18"/>
      <c r="W68" s="18"/>
      <c r="X68" s="1"/>
      <c r="Y68" s="1"/>
    </row>
    <row r="69" spans="1:26" ht="15" customHeight="1">
      <c r="A69" s="302"/>
      <c r="B69" s="244" t="s">
        <v>603</v>
      </c>
      <c r="C69" s="244"/>
      <c r="D69" s="244"/>
      <c r="E69" s="244"/>
      <c r="F69" s="244"/>
      <c r="G69" s="244"/>
      <c r="H69" s="244"/>
      <c r="I69" s="244"/>
      <c r="J69" s="244"/>
      <c r="K69" s="67"/>
      <c r="L69" s="18"/>
      <c r="M69" s="18"/>
      <c r="W69" s="18"/>
    </row>
    <row r="70" spans="1:26" ht="15" customHeight="1" thickBot="1">
      <c r="A70" s="302"/>
      <c r="B70" s="244"/>
      <c r="C70" s="244"/>
      <c r="D70" s="244"/>
      <c r="E70" s="244"/>
      <c r="F70" s="244"/>
      <c r="G70" s="244"/>
      <c r="H70" s="244"/>
      <c r="I70" s="244"/>
      <c r="J70" s="244"/>
      <c r="K70" s="67"/>
      <c r="L70" s="18"/>
      <c r="M70" s="18"/>
      <c r="W70" s="18"/>
    </row>
    <row r="71" spans="1:26" ht="15" customHeight="1" thickBot="1">
      <c r="A71" s="302"/>
      <c r="B71" s="244"/>
      <c r="C71" s="244">
        <f>F66</f>
        <v>1</v>
      </c>
      <c r="D71" s="244" t="s">
        <v>100</v>
      </c>
      <c r="E71" s="315">
        <f>C71+1+1</f>
        <v>3</v>
      </c>
      <c r="F71" s="244" t="s">
        <v>26</v>
      </c>
      <c r="G71" s="244"/>
      <c r="H71" s="244"/>
      <c r="I71" s="244"/>
      <c r="J71" s="244"/>
      <c r="K71" s="67"/>
      <c r="L71" s="18"/>
      <c r="M71" s="18"/>
      <c r="W71" s="18"/>
    </row>
    <row r="72" spans="1:26" ht="15" customHeight="1">
      <c r="A72" s="302"/>
      <c r="B72" s="244"/>
      <c r="C72" s="244"/>
      <c r="D72" s="244"/>
      <c r="E72" s="244"/>
      <c r="F72" s="244"/>
      <c r="G72" s="244"/>
      <c r="H72" s="244"/>
      <c r="I72" s="244"/>
      <c r="J72" s="244"/>
      <c r="K72" s="67"/>
      <c r="L72" s="18"/>
      <c r="M72" s="18"/>
      <c r="W72" s="18"/>
    </row>
    <row r="73" spans="1:26" ht="15" customHeight="1">
      <c r="A73" s="302"/>
      <c r="B73" s="244" t="s">
        <v>604</v>
      </c>
      <c r="C73" s="244"/>
      <c r="D73" s="244"/>
      <c r="E73" s="244"/>
      <c r="F73" s="244"/>
      <c r="G73" s="244"/>
      <c r="H73" s="244"/>
      <c r="I73" s="244"/>
      <c r="J73" s="244"/>
      <c r="K73" s="67"/>
      <c r="L73" s="18"/>
      <c r="M73" s="18"/>
      <c r="W73" s="18"/>
    </row>
    <row r="74" spans="1:26" ht="15" customHeight="1">
      <c r="A74" s="302"/>
      <c r="B74" s="244"/>
      <c r="C74" s="244"/>
      <c r="D74" s="244"/>
      <c r="E74" s="244"/>
      <c r="F74" s="244"/>
      <c r="G74" s="244"/>
      <c r="H74" s="244"/>
      <c r="I74" s="244"/>
      <c r="J74" s="244"/>
      <c r="K74" s="67"/>
      <c r="L74" s="18"/>
      <c r="M74" s="18"/>
      <c r="W74" s="18"/>
    </row>
    <row r="75" spans="1:26" ht="15" customHeight="1">
      <c r="A75" s="302"/>
      <c r="B75" s="244"/>
      <c r="C75" s="244" t="s">
        <v>88</v>
      </c>
      <c r="D75" s="242"/>
      <c r="E75" s="329">
        <v>2.75</v>
      </c>
      <c r="F75" s="300" t="s">
        <v>451</v>
      </c>
      <c r="G75" s="244"/>
      <c r="H75" s="244"/>
      <c r="I75" s="244"/>
      <c r="J75" s="244"/>
      <c r="K75" s="67"/>
      <c r="L75" s="18"/>
      <c r="M75" s="18"/>
      <c r="W75" s="18"/>
      <c r="Z75" s="53"/>
    </row>
    <row r="76" spans="1:26" ht="15" customHeight="1">
      <c r="A76" s="302"/>
      <c r="B76" s="244"/>
      <c r="C76" s="244"/>
      <c r="D76" s="245"/>
      <c r="E76" s="244"/>
      <c r="F76" s="244"/>
      <c r="G76" s="244"/>
      <c r="H76" s="244"/>
      <c r="I76" s="244"/>
      <c r="J76" s="244"/>
      <c r="K76" s="67"/>
      <c r="L76" s="18"/>
      <c r="M76" s="18"/>
      <c r="N76" s="18"/>
      <c r="O76" s="18"/>
      <c r="P76" s="18"/>
      <c r="Q76" s="18"/>
      <c r="R76" s="18"/>
      <c r="S76" s="18"/>
      <c r="T76" s="18"/>
      <c r="U76" s="18"/>
      <c r="V76" s="18"/>
      <c r="W76" s="18"/>
      <c r="Z76" s="53"/>
    </row>
    <row r="77" spans="1:26" ht="15" customHeight="1">
      <c r="A77" s="302"/>
      <c r="B77" s="244" t="s">
        <v>605</v>
      </c>
      <c r="C77" s="244"/>
      <c r="D77" s="244"/>
      <c r="E77" s="244"/>
      <c r="F77" s="244"/>
      <c r="G77" s="244"/>
      <c r="H77" s="244"/>
      <c r="I77" s="244"/>
      <c r="J77" s="244"/>
      <c r="K77" s="67"/>
      <c r="L77" s="18"/>
      <c r="M77" s="18"/>
      <c r="N77" s="18"/>
      <c r="O77" s="18"/>
      <c r="P77" s="18"/>
      <c r="Q77" s="18"/>
      <c r="R77" s="18"/>
      <c r="S77" s="18"/>
      <c r="T77" s="18"/>
      <c r="U77" s="18"/>
      <c r="V77" s="18"/>
      <c r="W77" s="18"/>
      <c r="Z77" s="53"/>
    </row>
    <row r="78" spans="1:26" ht="15" customHeight="1">
      <c r="A78" s="302"/>
      <c r="B78" s="314" t="s">
        <v>447</v>
      </c>
      <c r="C78" s="244"/>
      <c r="D78" s="244"/>
      <c r="E78" s="244"/>
      <c r="F78" s="244"/>
      <c r="G78" s="244"/>
      <c r="H78" s="244"/>
      <c r="I78" s="244"/>
      <c r="J78" s="244"/>
      <c r="K78" s="67"/>
      <c r="L78" s="18"/>
      <c r="M78" s="18"/>
      <c r="N78" s="18"/>
      <c r="O78" s="18"/>
      <c r="P78" s="18"/>
      <c r="Q78" s="18"/>
      <c r="R78" s="18"/>
      <c r="S78" s="18"/>
      <c r="T78" s="18"/>
      <c r="U78" s="18"/>
      <c r="V78" s="18"/>
      <c r="W78" s="18"/>
      <c r="Z78" s="53"/>
    </row>
    <row r="79" spans="1:26" ht="15" customHeight="1" thickBot="1">
      <c r="A79" s="302"/>
      <c r="B79" s="314"/>
      <c r="C79" s="244"/>
      <c r="D79" s="244"/>
      <c r="E79" s="244"/>
      <c r="F79" s="244"/>
      <c r="G79" s="244"/>
      <c r="H79" s="244"/>
      <c r="I79" s="244"/>
      <c r="J79" s="244"/>
      <c r="K79" s="67"/>
      <c r="L79" s="18"/>
      <c r="M79" s="18"/>
      <c r="N79" s="18"/>
      <c r="O79" s="18"/>
      <c r="Z79" s="53"/>
    </row>
    <row r="80" spans="1:26" ht="15" customHeight="1" thickBot="1">
      <c r="A80" s="302"/>
      <c r="B80" s="244"/>
      <c r="C80" s="311">
        <f>E75</f>
        <v>2.75</v>
      </c>
      <c r="D80" s="245" t="s">
        <v>98</v>
      </c>
      <c r="E80" s="309">
        <f>E71</f>
        <v>3</v>
      </c>
      <c r="F80" s="245" t="s">
        <v>97</v>
      </c>
      <c r="G80" s="315">
        <f>ROUNDUP(C80*E80,1)</f>
        <v>8.2999999999999989</v>
      </c>
      <c r="H80" s="244" t="s">
        <v>26</v>
      </c>
      <c r="I80" s="244"/>
      <c r="J80" s="244"/>
      <c r="K80" s="67"/>
      <c r="L80" s="18"/>
      <c r="M80" s="18"/>
      <c r="N80" s="18"/>
      <c r="O80" s="18"/>
      <c r="Z80" s="53"/>
    </row>
    <row r="81" spans="1:26" ht="11.25" customHeight="1" thickBot="1">
      <c r="A81" s="330"/>
      <c r="B81" s="330"/>
      <c r="C81" s="330"/>
      <c r="D81" s="330"/>
      <c r="E81" s="330"/>
      <c r="F81" s="330"/>
      <c r="G81" s="330"/>
      <c r="H81" s="330"/>
      <c r="I81" s="330"/>
      <c r="J81" s="330"/>
      <c r="K81" s="67"/>
      <c r="L81" s="18"/>
      <c r="M81" s="18"/>
      <c r="N81" s="18"/>
      <c r="O81" s="18"/>
      <c r="Z81" s="53"/>
    </row>
    <row r="82" spans="1:26" ht="15" customHeight="1">
      <c r="A82" s="242"/>
      <c r="B82" s="242"/>
      <c r="C82" s="242"/>
      <c r="D82" s="242"/>
      <c r="E82" s="242"/>
      <c r="F82" s="242"/>
      <c r="G82" s="242"/>
      <c r="H82" s="242"/>
      <c r="I82" s="242"/>
      <c r="J82" s="242"/>
      <c r="K82" s="67"/>
      <c r="L82" s="18"/>
      <c r="M82" s="18"/>
      <c r="N82" s="18"/>
      <c r="O82" s="18"/>
      <c r="Z82" s="53"/>
    </row>
    <row r="83" spans="1:26" ht="15" customHeight="1">
      <c r="A83" s="302"/>
      <c r="B83" s="300" t="s">
        <v>448</v>
      </c>
      <c r="C83" s="244"/>
      <c r="D83" s="244"/>
      <c r="E83" s="244"/>
      <c r="F83" s="244"/>
      <c r="G83" s="244"/>
      <c r="H83" s="244"/>
      <c r="I83" s="244"/>
      <c r="J83" s="244"/>
      <c r="K83" s="67"/>
      <c r="L83" s="18"/>
      <c r="M83" s="18"/>
      <c r="N83" s="18"/>
      <c r="O83" s="18"/>
      <c r="Z83" s="53"/>
    </row>
    <row r="84" spans="1:26" ht="15" customHeight="1">
      <c r="A84" s="302"/>
      <c r="B84" s="244"/>
      <c r="C84" s="244"/>
      <c r="D84" s="244"/>
      <c r="E84" s="244"/>
      <c r="F84" s="244"/>
      <c r="G84" s="244"/>
      <c r="H84" s="244"/>
      <c r="I84" s="244"/>
      <c r="J84" s="244"/>
      <c r="K84" s="67"/>
      <c r="L84" s="18"/>
      <c r="M84" s="18"/>
      <c r="N84" s="18"/>
      <c r="O84" s="18"/>
      <c r="Z84" s="53"/>
    </row>
    <row r="85" spans="1:26" ht="15" customHeight="1">
      <c r="A85" s="302"/>
      <c r="B85" s="244" t="s">
        <v>606</v>
      </c>
      <c r="C85" s="244"/>
      <c r="D85" s="244"/>
      <c r="E85" s="244"/>
      <c r="F85" s="244"/>
      <c r="G85" s="244"/>
      <c r="H85" s="244"/>
      <c r="I85" s="244"/>
      <c r="J85" s="244"/>
      <c r="K85" s="67"/>
      <c r="L85" s="68"/>
      <c r="M85" s="68"/>
      <c r="N85" s="68"/>
      <c r="O85" s="68"/>
      <c r="P85" s="53"/>
      <c r="Q85" s="53"/>
      <c r="R85" s="53"/>
      <c r="S85" s="53"/>
      <c r="T85" s="53"/>
      <c r="U85" s="53"/>
      <c r="V85" s="53"/>
      <c r="W85" s="53"/>
      <c r="X85" s="53"/>
      <c r="Y85" s="53"/>
      <c r="Z85" s="53"/>
    </row>
    <row r="86" spans="1:26" ht="15" customHeight="1">
      <c r="A86" s="302"/>
      <c r="B86" s="314" t="s">
        <v>449</v>
      </c>
      <c r="C86" s="244"/>
      <c r="D86" s="244"/>
      <c r="E86" s="244"/>
      <c r="F86" s="244"/>
      <c r="G86" s="244"/>
      <c r="H86" s="244"/>
      <c r="I86" s="244"/>
      <c r="J86" s="244"/>
      <c r="K86" s="67"/>
      <c r="L86" s="68"/>
      <c r="M86" s="68"/>
      <c r="N86" s="68"/>
      <c r="O86" s="68"/>
      <c r="P86" s="53"/>
      <c r="Q86" s="53"/>
      <c r="R86" s="53"/>
      <c r="S86" s="53"/>
      <c r="T86" s="53"/>
      <c r="U86" s="53"/>
      <c r="V86" s="53"/>
      <c r="W86" s="53"/>
      <c r="X86" s="53"/>
      <c r="Y86" s="53"/>
      <c r="Z86" s="53"/>
    </row>
    <row r="87" spans="1:26" ht="15" customHeight="1" thickBot="1">
      <c r="A87" s="302"/>
      <c r="B87" s="314"/>
      <c r="C87" s="244"/>
      <c r="D87" s="244"/>
      <c r="E87" s="244"/>
      <c r="F87" s="244"/>
      <c r="G87" s="244"/>
      <c r="H87" s="244"/>
      <c r="I87" s="244"/>
      <c r="J87" s="244"/>
      <c r="K87" s="18"/>
      <c r="L87" s="18"/>
      <c r="M87" s="18"/>
      <c r="N87" s="18"/>
      <c r="O87" s="18"/>
      <c r="Y87" s="53"/>
      <c r="Z87" s="53"/>
    </row>
    <row r="88" spans="1:26" ht="15" customHeight="1" thickBot="1">
      <c r="A88" s="302"/>
      <c r="B88" s="244"/>
      <c r="C88" s="309">
        <f>G38</f>
        <v>10</v>
      </c>
      <c r="D88" s="318" t="s">
        <v>95</v>
      </c>
      <c r="E88" s="309">
        <f>E26</f>
        <v>3</v>
      </c>
      <c r="F88" s="245" t="s">
        <v>94</v>
      </c>
      <c r="G88" s="315">
        <f>C88*E88/100</f>
        <v>0.3</v>
      </c>
      <c r="H88" s="244" t="s">
        <v>26</v>
      </c>
      <c r="I88" s="244"/>
      <c r="J88" s="244"/>
      <c r="K88" s="18"/>
      <c r="L88" s="18"/>
      <c r="M88" s="18"/>
      <c r="N88" s="18"/>
      <c r="O88" s="18"/>
      <c r="Y88" s="53"/>
      <c r="Z88" s="53"/>
    </row>
    <row r="89" spans="1:26" ht="15" customHeight="1">
      <c r="A89" s="302"/>
      <c r="B89" s="244"/>
      <c r="C89" s="244"/>
      <c r="D89" s="244"/>
      <c r="E89" s="244"/>
      <c r="F89" s="244"/>
      <c r="G89" s="244"/>
      <c r="H89" s="244"/>
      <c r="I89" s="244"/>
      <c r="J89" s="244"/>
      <c r="K89" s="18"/>
      <c r="L89" s="18"/>
      <c r="M89" s="18"/>
      <c r="N89" s="18"/>
      <c r="O89" s="18"/>
      <c r="Y89" s="53"/>
      <c r="Z89" s="53"/>
    </row>
    <row r="90" spans="1:26" ht="15" customHeight="1">
      <c r="A90" s="302"/>
      <c r="B90" s="244" t="s">
        <v>607</v>
      </c>
      <c r="C90" s="244"/>
      <c r="D90" s="244"/>
      <c r="E90" s="244"/>
      <c r="F90" s="244"/>
      <c r="G90" s="244"/>
      <c r="H90" s="244"/>
      <c r="I90" s="244"/>
      <c r="J90" s="244"/>
      <c r="K90" s="18"/>
      <c r="L90" s="18"/>
      <c r="M90" s="18"/>
      <c r="N90" s="18"/>
      <c r="O90" s="18"/>
      <c r="Y90" s="53"/>
      <c r="Z90" s="53"/>
    </row>
    <row r="91" spans="1:26" ht="15" customHeight="1">
      <c r="A91" s="302"/>
      <c r="B91" s="314" t="s">
        <v>574</v>
      </c>
      <c r="C91" s="244"/>
      <c r="D91" s="244"/>
      <c r="E91" s="244"/>
      <c r="F91" s="244"/>
      <c r="G91" s="244"/>
      <c r="H91" s="244"/>
      <c r="I91" s="244"/>
      <c r="J91" s="244"/>
      <c r="K91" s="18"/>
      <c r="L91" s="18"/>
      <c r="M91" s="18"/>
      <c r="N91" s="18"/>
      <c r="O91" s="18"/>
      <c r="Y91" s="53"/>
      <c r="Z91" s="53"/>
    </row>
    <row r="92" spans="1:26" ht="15" customHeight="1">
      <c r="A92" s="302"/>
      <c r="B92" s="314" t="s">
        <v>573</v>
      </c>
      <c r="C92" s="244"/>
      <c r="D92" s="244"/>
      <c r="E92" s="244"/>
      <c r="F92" s="244"/>
      <c r="G92" s="244"/>
      <c r="H92" s="244"/>
      <c r="I92" s="244"/>
      <c r="J92" s="244"/>
      <c r="K92" s="18"/>
      <c r="L92" s="18"/>
      <c r="M92" s="18"/>
      <c r="N92" s="18"/>
      <c r="O92" s="18"/>
      <c r="Y92" s="53"/>
      <c r="Z92" s="53"/>
    </row>
    <row r="93" spans="1:26" ht="15" customHeight="1" thickBot="1">
      <c r="A93" s="302"/>
      <c r="B93" s="314"/>
      <c r="C93" s="244"/>
      <c r="D93" s="244"/>
      <c r="E93" s="244"/>
      <c r="F93" s="244"/>
      <c r="G93" s="244"/>
      <c r="H93" s="244"/>
      <c r="I93" s="244"/>
      <c r="J93" s="244"/>
      <c r="K93" s="18"/>
      <c r="L93" s="18"/>
      <c r="M93" s="18"/>
      <c r="N93" s="18"/>
      <c r="O93" s="18"/>
      <c r="Y93" s="53"/>
      <c r="Z93" s="53"/>
    </row>
    <row r="94" spans="1:26" ht="15" customHeight="1" thickBot="1">
      <c r="A94" s="302"/>
      <c r="B94" s="244"/>
      <c r="C94" s="309">
        <f>G88</f>
        <v>0.3</v>
      </c>
      <c r="D94" s="244" t="s">
        <v>92</v>
      </c>
      <c r="E94" s="309">
        <f>E71</f>
        <v>3</v>
      </c>
      <c r="F94" s="244" t="s">
        <v>79</v>
      </c>
      <c r="G94" s="315">
        <f>C94+E94</f>
        <v>3.3</v>
      </c>
      <c r="H94" s="244" t="s">
        <v>26</v>
      </c>
      <c r="I94" s="244"/>
      <c r="J94" s="244"/>
      <c r="K94" s="18"/>
      <c r="L94" s="18"/>
      <c r="M94" s="18"/>
      <c r="N94" s="18"/>
      <c r="O94" s="18"/>
      <c r="Y94" s="53"/>
      <c r="Z94" s="53"/>
    </row>
    <row r="95" spans="1:26" ht="15" customHeight="1">
      <c r="A95" s="302"/>
      <c r="B95" s="244"/>
      <c r="C95" s="244"/>
      <c r="D95" s="244"/>
      <c r="E95" s="244"/>
      <c r="F95" s="244"/>
      <c r="G95" s="244"/>
      <c r="H95" s="244"/>
      <c r="I95" s="244"/>
      <c r="J95" s="244"/>
      <c r="K95" s="18"/>
      <c r="L95" s="18"/>
      <c r="M95" s="18"/>
      <c r="N95" s="18"/>
      <c r="O95" s="18"/>
      <c r="Y95" s="53"/>
      <c r="Z95" s="53"/>
    </row>
    <row r="96" spans="1:26" ht="15" customHeight="1">
      <c r="A96" s="302"/>
      <c r="B96" s="244" t="s">
        <v>608</v>
      </c>
      <c r="C96" s="244"/>
      <c r="D96" s="244"/>
      <c r="E96" s="244"/>
      <c r="F96" s="244"/>
      <c r="G96" s="244"/>
      <c r="H96" s="242"/>
      <c r="I96" s="242"/>
      <c r="J96" s="245"/>
      <c r="K96" s="18"/>
      <c r="L96" s="18"/>
      <c r="M96" s="18"/>
      <c r="N96" s="18"/>
      <c r="O96" s="18"/>
      <c r="Y96" s="53"/>
      <c r="Z96" s="53"/>
    </row>
    <row r="97" spans="1:26" ht="15" customHeight="1">
      <c r="A97" s="302"/>
      <c r="B97" s="242"/>
      <c r="C97" s="242"/>
      <c r="D97" s="242"/>
      <c r="E97" s="242"/>
      <c r="F97" s="242"/>
      <c r="G97" s="242"/>
      <c r="H97" s="242"/>
      <c r="I97" s="242"/>
      <c r="J97" s="242"/>
      <c r="K97" s="18"/>
      <c r="L97" s="18"/>
      <c r="M97" s="18"/>
      <c r="N97" s="18"/>
      <c r="O97" s="18"/>
      <c r="Y97" s="53"/>
      <c r="Z97" s="53"/>
    </row>
    <row r="98" spans="1:26" ht="15" customHeight="1">
      <c r="A98" s="302"/>
      <c r="B98" s="242"/>
      <c r="C98" s="244" t="s">
        <v>88</v>
      </c>
      <c r="D98" s="244"/>
      <c r="E98" s="329">
        <v>2.75</v>
      </c>
      <c r="F98" s="300" t="s">
        <v>451</v>
      </c>
      <c r="G98" s="244"/>
      <c r="H98" s="244"/>
      <c r="I98" s="244"/>
      <c r="J98" s="244"/>
      <c r="K98" s="18"/>
      <c r="L98" s="18"/>
      <c r="M98" s="18"/>
      <c r="N98" s="18"/>
      <c r="O98" s="18"/>
      <c r="Y98" s="53"/>
      <c r="Z98" s="53"/>
    </row>
    <row r="99" spans="1:26" ht="15" customHeight="1">
      <c r="A99" s="302"/>
      <c r="B99" s="244"/>
      <c r="C99" s="244"/>
      <c r="D99" s="244"/>
      <c r="E99" s="331"/>
      <c r="F99" s="244"/>
      <c r="G99" s="244"/>
      <c r="H99" s="244"/>
      <c r="I99" s="244"/>
      <c r="J99" s="244"/>
      <c r="K99" s="18"/>
      <c r="L99" s="18"/>
      <c r="M99" s="18"/>
      <c r="N99" s="18"/>
      <c r="O99" s="18"/>
      <c r="Y99" s="53"/>
      <c r="Z99" s="53"/>
    </row>
    <row r="100" spans="1:26" ht="15" customHeight="1">
      <c r="A100" s="302"/>
      <c r="B100" s="244" t="s">
        <v>609</v>
      </c>
      <c r="C100" s="244"/>
      <c r="D100" s="244"/>
      <c r="E100" s="244"/>
      <c r="F100" s="244"/>
      <c r="G100" s="244"/>
      <c r="H100" s="244"/>
      <c r="I100" s="244"/>
      <c r="J100" s="244"/>
      <c r="K100" s="18"/>
      <c r="L100" s="18"/>
      <c r="M100" s="18"/>
      <c r="N100" s="18"/>
      <c r="O100" s="18"/>
      <c r="Y100" s="53"/>
      <c r="Z100" s="53"/>
    </row>
    <row r="101" spans="1:26" ht="15" customHeight="1" thickBot="1">
      <c r="A101" s="242"/>
      <c r="B101" s="242"/>
      <c r="C101" s="242"/>
      <c r="D101" s="242"/>
      <c r="E101" s="242"/>
      <c r="F101" s="242"/>
      <c r="G101" s="242"/>
      <c r="H101" s="242"/>
      <c r="I101" s="242"/>
      <c r="J101" s="242"/>
      <c r="K101" s="18"/>
      <c r="L101" s="18"/>
      <c r="M101" s="18"/>
      <c r="N101" s="18"/>
      <c r="O101" s="18"/>
      <c r="Y101" s="53"/>
      <c r="Z101" s="53"/>
    </row>
    <row r="102" spans="1:26" ht="15" customHeight="1" thickBot="1">
      <c r="A102" s="302"/>
      <c r="B102" s="244"/>
      <c r="C102" s="311">
        <f>E98</f>
        <v>2.75</v>
      </c>
      <c r="D102" s="245" t="s">
        <v>85</v>
      </c>
      <c r="E102" s="309">
        <f>G94</f>
        <v>3.3</v>
      </c>
      <c r="F102" s="245" t="s">
        <v>65</v>
      </c>
      <c r="G102" s="315">
        <f>ROUNDUP(C102*E102,1)</f>
        <v>9.1</v>
      </c>
      <c r="H102" s="244" t="s">
        <v>26</v>
      </c>
      <c r="I102" s="244"/>
      <c r="J102" s="244"/>
      <c r="K102" s="18"/>
      <c r="L102" s="18"/>
      <c r="M102" s="18"/>
      <c r="N102" s="18"/>
      <c r="O102" s="18"/>
      <c r="Y102" s="53"/>
      <c r="Z102" s="53"/>
    </row>
    <row r="103" spans="1:26" ht="15" customHeight="1" thickBot="1">
      <c r="A103" s="302"/>
      <c r="B103" s="244"/>
      <c r="C103" s="244"/>
      <c r="D103" s="244"/>
      <c r="E103" s="244"/>
      <c r="F103" s="244"/>
      <c r="G103" s="244"/>
      <c r="H103" s="244"/>
      <c r="I103" s="244"/>
      <c r="J103" s="244"/>
      <c r="K103" s="18"/>
      <c r="L103" s="18"/>
      <c r="M103" s="18"/>
      <c r="N103" s="18"/>
      <c r="O103" s="18"/>
      <c r="Y103" s="53"/>
      <c r="Z103" s="53"/>
    </row>
    <row r="104" spans="1:26" ht="15" customHeight="1" thickBot="1">
      <c r="A104" s="302"/>
      <c r="B104" s="244" t="s">
        <v>610</v>
      </c>
      <c r="C104" s="244"/>
      <c r="D104" s="244"/>
      <c r="E104" s="244"/>
      <c r="F104" s="244"/>
      <c r="G104" s="315">
        <f>IF(F58&gt;G102,F58,G102)</f>
        <v>17</v>
      </c>
      <c r="H104" s="244" t="s">
        <v>26</v>
      </c>
      <c r="I104" s="244"/>
      <c r="J104" s="244"/>
      <c r="K104" s="18"/>
      <c r="L104" s="18"/>
      <c r="M104" s="18"/>
      <c r="N104" s="18"/>
      <c r="O104" s="18"/>
      <c r="Y104" s="53"/>
      <c r="Z104" s="53"/>
    </row>
    <row r="105" spans="1:26" ht="15" customHeight="1">
      <c r="A105" s="302"/>
      <c r="B105" s="244"/>
      <c r="C105" s="244"/>
      <c r="D105" s="244"/>
      <c r="E105" s="244"/>
      <c r="F105" s="244"/>
      <c r="G105" s="244"/>
      <c r="H105" s="244"/>
      <c r="I105" s="244"/>
      <c r="J105" s="244"/>
      <c r="K105" s="18"/>
      <c r="L105" s="18"/>
      <c r="M105" s="18"/>
      <c r="N105" s="18"/>
      <c r="O105" s="18"/>
      <c r="Y105" s="53"/>
      <c r="Z105" s="53"/>
    </row>
    <row r="106" spans="1:26" ht="15" customHeight="1">
      <c r="A106" s="302"/>
      <c r="B106" s="244" t="s">
        <v>611</v>
      </c>
      <c r="C106" s="244"/>
      <c r="D106" s="244"/>
      <c r="E106" s="244"/>
      <c r="F106" s="244"/>
      <c r="G106" s="244"/>
      <c r="H106" s="244"/>
      <c r="I106" s="244"/>
      <c r="J106" s="244"/>
      <c r="K106" s="18"/>
      <c r="L106" s="18"/>
      <c r="M106" s="18"/>
      <c r="N106" s="18"/>
      <c r="O106" s="18"/>
      <c r="Y106" s="53"/>
      <c r="Z106" s="53"/>
    </row>
    <row r="107" spans="1:26" ht="15" customHeight="1">
      <c r="A107" s="299"/>
      <c r="B107" s="253" t="s">
        <v>450</v>
      </c>
      <c r="C107" s="242"/>
      <c r="D107" s="242"/>
      <c r="E107" s="242"/>
      <c r="F107" s="242"/>
      <c r="G107" s="242"/>
      <c r="H107" s="242"/>
      <c r="I107" s="242"/>
      <c r="J107" s="242"/>
      <c r="K107" s="18"/>
      <c r="L107" s="18"/>
      <c r="M107" s="18"/>
      <c r="N107" s="18"/>
      <c r="O107" s="18"/>
      <c r="Y107" s="53"/>
      <c r="Z107" s="53"/>
    </row>
    <row r="108" spans="1:26" ht="15" customHeight="1" thickBot="1">
      <c r="A108" s="299"/>
      <c r="B108" s="242"/>
      <c r="C108" s="242"/>
      <c r="D108" s="242"/>
      <c r="E108" s="242"/>
      <c r="F108" s="242"/>
      <c r="G108" s="242"/>
      <c r="H108" s="242"/>
      <c r="I108" s="242"/>
      <c r="J108" s="242"/>
      <c r="K108" s="18"/>
      <c r="L108" s="18"/>
      <c r="M108" s="18"/>
      <c r="N108" s="18"/>
      <c r="O108" s="18"/>
      <c r="Y108" s="53"/>
      <c r="Z108" s="53"/>
    </row>
    <row r="109" spans="1:26" ht="15" customHeight="1" thickBot="1">
      <c r="A109" s="302"/>
      <c r="B109" s="244"/>
      <c r="C109" s="309">
        <f>G80</f>
        <v>8.2999999999999989</v>
      </c>
      <c r="D109" s="244" t="s">
        <v>84</v>
      </c>
      <c r="E109" s="309">
        <f>G38</f>
        <v>10</v>
      </c>
      <c r="F109" s="244" t="s">
        <v>80</v>
      </c>
      <c r="G109" s="309">
        <f>G104</f>
        <v>17</v>
      </c>
      <c r="H109" s="244" t="s">
        <v>79</v>
      </c>
      <c r="I109" s="315">
        <f>G109+E109+C109</f>
        <v>35.299999999999997</v>
      </c>
      <c r="J109" s="244" t="s">
        <v>26</v>
      </c>
      <c r="K109" s="18"/>
      <c r="L109" s="18"/>
      <c r="M109" s="18"/>
      <c r="N109" s="18"/>
      <c r="O109" s="18"/>
      <c r="Y109" s="53"/>
      <c r="Z109" s="53"/>
    </row>
    <row r="110" spans="1:26" ht="12.75" customHeight="1">
      <c r="A110" s="302"/>
      <c r="B110" s="244"/>
      <c r="C110" s="244"/>
      <c r="D110" s="244"/>
      <c r="E110" s="244"/>
      <c r="F110" s="244"/>
      <c r="G110" s="244"/>
      <c r="H110" s="244"/>
      <c r="I110" s="244"/>
      <c r="J110" s="244"/>
      <c r="K110" s="18"/>
      <c r="L110" s="18"/>
      <c r="M110" s="18"/>
      <c r="N110" s="18"/>
      <c r="O110" s="18"/>
      <c r="Y110" s="53"/>
      <c r="Z110" s="53"/>
    </row>
    <row r="111" spans="1:26" ht="15" customHeight="1">
      <c r="A111" s="302"/>
      <c r="B111" s="244" t="s">
        <v>612</v>
      </c>
      <c r="C111" s="244"/>
      <c r="D111" s="244"/>
      <c r="E111" s="244"/>
      <c r="F111" s="244"/>
      <c r="G111" s="244"/>
      <c r="H111" s="244"/>
      <c r="I111" s="244"/>
      <c r="J111" s="244"/>
      <c r="K111" s="18"/>
      <c r="L111" s="18"/>
      <c r="M111" s="18"/>
      <c r="N111" s="18"/>
      <c r="O111" s="18"/>
      <c r="Y111" s="53"/>
      <c r="Z111" s="53"/>
    </row>
    <row r="112" spans="1:26" ht="13.5" customHeight="1">
      <c r="A112" s="302"/>
      <c r="B112" s="314" t="s">
        <v>491</v>
      </c>
      <c r="C112" s="244"/>
      <c r="D112" s="244"/>
      <c r="E112" s="244"/>
      <c r="F112" s="244"/>
      <c r="G112" s="244"/>
      <c r="H112" s="244"/>
      <c r="I112" s="244"/>
      <c r="J112" s="244"/>
      <c r="K112" s="18"/>
      <c r="L112" s="18"/>
      <c r="M112" s="18"/>
      <c r="N112" s="18"/>
      <c r="O112" s="18"/>
      <c r="Y112" s="53"/>
      <c r="Z112" s="53"/>
    </row>
    <row r="113" spans="1:26" ht="15" customHeight="1" thickBot="1">
      <c r="A113" s="299"/>
      <c r="B113" s="242"/>
      <c r="C113" s="242"/>
      <c r="D113" s="242"/>
      <c r="E113" s="242"/>
      <c r="F113" s="242"/>
      <c r="G113" s="242"/>
      <c r="H113" s="242"/>
      <c r="I113" s="242"/>
      <c r="J113" s="242"/>
      <c r="K113" s="18"/>
      <c r="L113" s="18"/>
      <c r="M113" s="18"/>
      <c r="N113" s="18"/>
      <c r="O113" s="18"/>
      <c r="Y113" s="53"/>
      <c r="Z113" s="53"/>
    </row>
    <row r="114" spans="1:26" ht="15" customHeight="1" thickBot="1">
      <c r="A114" s="242"/>
      <c r="B114" s="244"/>
      <c r="C114" s="309">
        <f>G80</f>
        <v>8.2999999999999989</v>
      </c>
      <c r="D114" s="244" t="s">
        <v>81</v>
      </c>
      <c r="E114" s="309">
        <f>G42</f>
        <v>38</v>
      </c>
      <c r="F114" s="244" t="s">
        <v>80</v>
      </c>
      <c r="G114" s="309">
        <f>G80</f>
        <v>8.2999999999999989</v>
      </c>
      <c r="H114" s="244" t="s">
        <v>79</v>
      </c>
      <c r="I114" s="315">
        <f>C114+E114+G114</f>
        <v>54.599999999999994</v>
      </c>
      <c r="J114" s="244" t="s">
        <v>26</v>
      </c>
      <c r="K114" s="18"/>
      <c r="L114" s="18"/>
      <c r="M114" s="18"/>
      <c r="N114" s="18"/>
      <c r="O114" s="18"/>
      <c r="Y114" s="53"/>
      <c r="Z114" s="53"/>
    </row>
    <row r="115" spans="1:26" ht="18" customHeight="1" thickBot="1">
      <c r="A115" s="242"/>
      <c r="B115" s="242"/>
      <c r="C115" s="242"/>
      <c r="D115" s="242"/>
      <c r="E115" s="242"/>
      <c r="F115" s="242"/>
      <c r="G115" s="242"/>
      <c r="H115" s="242"/>
      <c r="I115" s="242"/>
      <c r="J115" s="242"/>
      <c r="K115" s="18"/>
      <c r="L115" s="18"/>
      <c r="M115" s="18"/>
      <c r="N115" s="18"/>
      <c r="O115" s="18"/>
      <c r="Y115" s="53"/>
      <c r="Z115" s="53"/>
    </row>
    <row r="116" spans="1:26" ht="19.5" customHeight="1" thickBot="1">
      <c r="A116" s="363"/>
      <c r="B116" s="357"/>
      <c r="C116" s="357" t="s">
        <v>78</v>
      </c>
      <c r="D116" s="357"/>
      <c r="E116" s="358">
        <f>I109</f>
        <v>35.299999999999997</v>
      </c>
      <c r="F116" s="359" t="s">
        <v>77</v>
      </c>
      <c r="G116" s="358">
        <f>I114</f>
        <v>54.599999999999994</v>
      </c>
      <c r="H116" s="360" t="s">
        <v>26</v>
      </c>
      <c r="I116" s="357"/>
      <c r="J116" s="361"/>
      <c r="K116" s="67"/>
      <c r="L116" s="68"/>
      <c r="M116" s="68"/>
      <c r="N116" s="18"/>
      <c r="O116" s="18"/>
      <c r="W116" s="53"/>
      <c r="X116" s="53"/>
      <c r="Y116" s="53"/>
      <c r="Z116" s="53"/>
    </row>
    <row r="117" spans="1:26" ht="17.25" customHeight="1">
      <c r="A117" s="299"/>
      <c r="B117" s="242"/>
      <c r="C117" s="242"/>
      <c r="D117" s="242"/>
      <c r="E117" s="242"/>
      <c r="F117" s="242"/>
      <c r="G117" s="242"/>
      <c r="H117" s="242"/>
      <c r="I117" s="242"/>
      <c r="J117" s="244"/>
      <c r="K117" s="67"/>
      <c r="L117" s="18"/>
      <c r="M117" s="18"/>
      <c r="N117" s="18"/>
      <c r="O117" s="18"/>
      <c r="W117" s="53"/>
      <c r="X117" s="53"/>
      <c r="Y117" s="53"/>
      <c r="Z117" s="53"/>
    </row>
    <row r="118" spans="1:26" ht="15" hidden="1" customHeight="1">
      <c r="A118" s="299"/>
      <c r="B118" s="242"/>
      <c r="C118" s="242"/>
      <c r="D118" s="242"/>
      <c r="E118" s="242"/>
      <c r="F118" s="242"/>
      <c r="G118" s="242"/>
      <c r="H118" s="242"/>
      <c r="I118" s="242"/>
      <c r="J118" s="242"/>
      <c r="K118" s="18"/>
      <c r="L118" s="68"/>
      <c r="M118" s="68"/>
      <c r="N118" s="18"/>
      <c r="O118" s="18"/>
      <c r="W118" s="53"/>
      <c r="X118" s="53"/>
      <c r="Y118" s="53"/>
      <c r="Z118" s="53"/>
    </row>
    <row r="119" spans="1:26" ht="14.25" hidden="1" customHeight="1">
      <c r="A119" s="299"/>
      <c r="B119" s="242"/>
      <c r="C119" s="242"/>
      <c r="D119" s="242"/>
      <c r="E119" s="242"/>
      <c r="F119" s="242"/>
      <c r="G119" s="242"/>
      <c r="H119" s="242"/>
      <c r="I119" s="242"/>
      <c r="J119" s="242"/>
      <c r="K119" s="67"/>
      <c r="L119" s="18"/>
      <c r="M119" s="18"/>
      <c r="N119" s="18"/>
      <c r="O119" s="18"/>
      <c r="W119" s="53"/>
      <c r="X119" s="53"/>
      <c r="Y119" s="53"/>
      <c r="Z119" s="53"/>
    </row>
    <row r="120" spans="1:26" ht="15" hidden="1" customHeight="1">
      <c r="A120" s="299"/>
      <c r="B120" s="242"/>
      <c r="C120" s="242"/>
      <c r="D120" s="242"/>
      <c r="E120" s="242"/>
      <c r="F120" s="242"/>
      <c r="G120" s="242"/>
      <c r="H120" s="242"/>
      <c r="I120" s="242"/>
      <c r="J120" s="242"/>
      <c r="K120" s="67"/>
      <c r="L120" s="18"/>
      <c r="M120" s="18"/>
      <c r="N120" s="18"/>
      <c r="O120" s="18"/>
      <c r="W120" s="53"/>
      <c r="X120" s="53"/>
      <c r="Y120" s="53"/>
      <c r="Z120" s="53"/>
    </row>
    <row r="121" spans="1:26" ht="15.75" hidden="1">
      <c r="A121" s="299"/>
      <c r="B121" s="242"/>
      <c r="C121" s="242"/>
      <c r="D121" s="242"/>
      <c r="E121" s="242"/>
      <c r="F121" s="242"/>
      <c r="G121" s="242"/>
      <c r="H121" s="242"/>
      <c r="I121" s="242"/>
      <c r="J121" s="242"/>
      <c r="K121" s="68"/>
      <c r="L121" s="18"/>
      <c r="M121" s="18"/>
      <c r="N121" s="18"/>
      <c r="O121" s="18"/>
      <c r="W121" s="53"/>
      <c r="X121" s="53"/>
      <c r="Y121" s="53"/>
      <c r="Z121" s="53"/>
    </row>
    <row r="122" spans="1:26" ht="18" hidden="1" customHeight="1">
      <c r="A122" s="299"/>
      <c r="B122" s="242"/>
      <c r="C122" s="242"/>
      <c r="D122" s="242"/>
      <c r="E122" s="242"/>
      <c r="F122" s="242"/>
      <c r="G122" s="242"/>
      <c r="H122" s="242"/>
      <c r="I122" s="242"/>
      <c r="J122" s="242"/>
      <c r="K122" s="68"/>
      <c r="L122" s="18"/>
      <c r="M122" s="18"/>
      <c r="N122" s="18"/>
      <c r="O122" s="18"/>
      <c r="W122" s="53"/>
      <c r="X122" s="53"/>
      <c r="Y122" s="53"/>
      <c r="Z122" s="53"/>
    </row>
    <row r="123" spans="1:26" ht="51" hidden="1" customHeight="1">
      <c r="A123" s="299"/>
      <c r="B123" s="242"/>
      <c r="C123" s="242"/>
      <c r="D123" s="242"/>
      <c r="E123" s="242"/>
      <c r="F123" s="242"/>
      <c r="G123" s="242"/>
      <c r="H123" s="242"/>
      <c r="I123" s="242"/>
      <c r="J123" s="242"/>
      <c r="K123" s="101"/>
      <c r="L123" s="18"/>
      <c r="M123" s="18"/>
      <c r="N123" s="18"/>
      <c r="O123" s="18"/>
      <c r="W123" s="53"/>
      <c r="X123" s="53"/>
      <c r="Y123" s="53"/>
      <c r="Z123" s="53"/>
    </row>
    <row r="124" spans="1:26" ht="19.5" customHeight="1">
      <c r="A124" s="349" t="s">
        <v>108</v>
      </c>
      <c r="B124" s="350" t="s">
        <v>73</v>
      </c>
      <c r="C124" s="350"/>
      <c r="D124" s="353"/>
      <c r="E124" s="353"/>
      <c r="F124" s="353"/>
      <c r="G124" s="353"/>
      <c r="H124" s="353"/>
      <c r="I124" s="353"/>
      <c r="J124" s="355"/>
      <c r="K124" s="18"/>
      <c r="L124" s="18"/>
      <c r="M124" s="18"/>
      <c r="N124" s="18"/>
      <c r="O124" s="18"/>
      <c r="W124" s="53"/>
      <c r="X124" s="53"/>
      <c r="Y124" s="53"/>
      <c r="Z124" s="53"/>
    </row>
    <row r="125" spans="1:26" ht="15" customHeight="1">
      <c r="A125" s="301"/>
      <c r="B125" s="300"/>
      <c r="C125" s="300"/>
      <c r="D125" s="300"/>
      <c r="E125" s="300"/>
      <c r="F125" s="300"/>
      <c r="G125" s="300"/>
      <c r="H125" s="300"/>
      <c r="I125" s="316"/>
      <c r="J125" s="242"/>
      <c r="K125" s="18"/>
      <c r="W125" s="68"/>
      <c r="X125" s="68"/>
      <c r="Y125" s="53"/>
      <c r="Z125" s="53"/>
    </row>
    <row r="126" spans="1:26" ht="15" customHeight="1">
      <c r="A126" s="333" t="s">
        <v>57</v>
      </c>
      <c r="B126" s="334" t="s">
        <v>72</v>
      </c>
      <c r="C126" s="334"/>
      <c r="D126" s="334"/>
      <c r="E126" s="334"/>
      <c r="F126" s="334"/>
      <c r="G126" s="334"/>
      <c r="H126" s="334"/>
      <c r="I126" s="335"/>
      <c r="J126" s="242"/>
      <c r="K126" s="18"/>
      <c r="W126" s="68"/>
      <c r="X126" s="68"/>
      <c r="Y126" s="53"/>
      <c r="Z126" s="53"/>
    </row>
    <row r="127" spans="1:26" ht="15" customHeight="1">
      <c r="A127" s="333"/>
      <c r="B127" s="321"/>
      <c r="C127" s="334"/>
      <c r="D127" s="334"/>
      <c r="E127" s="334"/>
      <c r="F127" s="334"/>
      <c r="G127" s="334"/>
      <c r="H127" s="334"/>
      <c r="I127" s="335"/>
      <c r="J127" s="242"/>
      <c r="K127" s="67"/>
      <c r="W127" s="68"/>
      <c r="X127" s="68"/>
      <c r="Y127" s="53"/>
      <c r="Z127" s="53"/>
    </row>
    <row r="128" spans="1:26" ht="10.5" customHeight="1">
      <c r="A128" s="336"/>
      <c r="B128" s="321" t="s">
        <v>613</v>
      </c>
      <c r="C128" s="321"/>
      <c r="D128" s="321"/>
      <c r="E128" s="321"/>
      <c r="F128" s="321"/>
      <c r="G128" s="321"/>
      <c r="H128" s="321"/>
      <c r="I128" s="335"/>
      <c r="J128" s="325"/>
      <c r="K128" s="67"/>
      <c r="W128" s="68"/>
      <c r="X128" s="68"/>
      <c r="Y128" s="53"/>
      <c r="Z128" s="53"/>
    </row>
    <row r="129" spans="1:26" ht="19.5" customHeight="1">
      <c r="A129" s="336"/>
      <c r="B129" s="337" t="s">
        <v>453</v>
      </c>
      <c r="C129" s="321"/>
      <c r="D129" s="321"/>
      <c r="E129" s="321"/>
      <c r="F129" s="321"/>
      <c r="G129" s="321"/>
      <c r="H129" s="321"/>
      <c r="I129" s="335"/>
      <c r="J129" s="325"/>
      <c r="K129" s="67"/>
      <c r="W129" s="68"/>
      <c r="X129" s="68"/>
      <c r="Y129" s="53"/>
      <c r="Z129" s="53"/>
    </row>
    <row r="130" spans="1:26" ht="15" customHeight="1" thickBot="1">
      <c r="A130" s="336"/>
      <c r="B130" s="321"/>
      <c r="C130" s="321"/>
      <c r="D130" s="321"/>
      <c r="E130" s="321"/>
      <c r="F130" s="321"/>
      <c r="G130" s="321"/>
      <c r="H130" s="321"/>
      <c r="I130" s="335"/>
      <c r="J130" s="325"/>
      <c r="K130" s="67"/>
      <c r="W130" s="68"/>
      <c r="X130" s="68"/>
      <c r="Y130" s="53"/>
      <c r="Z130" s="53"/>
    </row>
    <row r="131" spans="1:26" ht="19.5" thickBot="1">
      <c r="A131" s="336"/>
      <c r="B131" s="309">
        <f>F66 +1</f>
        <v>2</v>
      </c>
      <c r="C131" s="323" t="s">
        <v>68</v>
      </c>
      <c r="D131" s="309">
        <f>G80</f>
        <v>8.2999999999999989</v>
      </c>
      <c r="E131" s="323" t="s">
        <v>68</v>
      </c>
      <c r="F131" s="309">
        <f>I114</f>
        <v>54.599999999999994</v>
      </c>
      <c r="G131" s="323" t="s">
        <v>71</v>
      </c>
      <c r="H131" s="315">
        <f>B131*D131*F131/2</f>
        <v>453.17999999999989</v>
      </c>
      <c r="I131" s="338" t="s">
        <v>614</v>
      </c>
      <c r="J131" s="325"/>
      <c r="K131" s="67"/>
      <c r="W131" s="68"/>
      <c r="X131" s="68"/>
      <c r="Y131" s="53"/>
      <c r="Z131" s="53"/>
    </row>
    <row r="132" spans="1:26" ht="15.75">
      <c r="A132" s="336"/>
      <c r="B132" s="335"/>
      <c r="C132" s="323"/>
      <c r="D132" s="335"/>
      <c r="E132" s="323"/>
      <c r="F132" s="335"/>
      <c r="G132" s="323"/>
      <c r="H132" s="335"/>
      <c r="I132" s="338"/>
      <c r="J132" s="325"/>
      <c r="K132" s="67"/>
      <c r="W132" s="68"/>
      <c r="X132" s="68"/>
      <c r="Y132" s="53"/>
      <c r="Z132" s="53"/>
    </row>
    <row r="133" spans="1:26" ht="15.75">
      <c r="A133" s="336"/>
      <c r="B133" s="339" t="s">
        <v>615</v>
      </c>
      <c r="C133" s="323"/>
      <c r="D133" s="323"/>
      <c r="E133" s="323"/>
      <c r="F133" s="323"/>
      <c r="G133" s="323"/>
      <c r="H133" s="323"/>
      <c r="I133" s="338"/>
      <c r="J133" s="340"/>
      <c r="K133" s="69"/>
      <c r="W133" s="68"/>
      <c r="X133" s="68"/>
      <c r="Y133" s="53"/>
      <c r="Z133" s="53"/>
    </row>
    <row r="134" spans="1:26" ht="15.75">
      <c r="A134" s="336"/>
      <c r="B134" s="341" t="s">
        <v>454</v>
      </c>
      <c r="C134" s="323"/>
      <c r="D134" s="323"/>
      <c r="E134" s="323"/>
      <c r="F134" s="323"/>
      <c r="G134" s="323"/>
      <c r="H134" s="323"/>
      <c r="I134" s="338"/>
      <c r="J134" s="340"/>
      <c r="K134" s="18"/>
      <c r="W134" s="68"/>
      <c r="X134" s="68"/>
      <c r="Y134" s="53"/>
      <c r="Z134" s="53"/>
    </row>
    <row r="135" spans="1:26" ht="16.5" thickBot="1">
      <c r="A135" s="336"/>
      <c r="B135" s="341"/>
      <c r="C135" s="323"/>
      <c r="D135" s="323"/>
      <c r="E135" s="323"/>
      <c r="F135" s="323"/>
      <c r="G135" s="323"/>
      <c r="H135" s="323"/>
      <c r="I135" s="338"/>
      <c r="J135" s="340"/>
      <c r="K135" s="67"/>
      <c r="W135" s="68"/>
      <c r="X135" s="68"/>
      <c r="Y135" s="53"/>
      <c r="Z135" s="53"/>
    </row>
    <row r="136" spans="1:26" ht="19.5" thickBot="1">
      <c r="A136" s="336"/>
      <c r="B136" s="309">
        <f>AVERAGE(E71,G94)-2</f>
        <v>1.1499999999999999</v>
      </c>
      <c r="C136" s="323" t="s">
        <v>70</v>
      </c>
      <c r="D136" s="309">
        <f>G38</f>
        <v>10</v>
      </c>
      <c r="E136" s="323" t="s">
        <v>70</v>
      </c>
      <c r="F136" s="309">
        <f>F131</f>
        <v>54.599999999999994</v>
      </c>
      <c r="G136" s="323" t="s">
        <v>69</v>
      </c>
      <c r="H136" s="315">
        <f>B136*D136*F136</f>
        <v>627.9</v>
      </c>
      <c r="I136" s="338" t="s">
        <v>614</v>
      </c>
      <c r="J136" s="340"/>
      <c r="K136" s="67"/>
      <c r="W136" s="68"/>
      <c r="X136" s="68"/>
      <c r="Y136" s="53"/>
      <c r="Z136" s="53"/>
    </row>
    <row r="137" spans="1:26" ht="15.75">
      <c r="A137" s="336"/>
      <c r="B137" s="335"/>
      <c r="C137" s="323"/>
      <c r="D137" s="335"/>
      <c r="E137" s="323"/>
      <c r="F137" s="335"/>
      <c r="G137" s="323"/>
      <c r="H137" s="335"/>
      <c r="I137" s="338"/>
      <c r="J137" s="340"/>
      <c r="K137" s="67"/>
      <c r="W137" s="68"/>
      <c r="X137" s="68"/>
      <c r="Y137" s="53"/>
      <c r="Z137" s="53"/>
    </row>
    <row r="138" spans="1:26" ht="18.75">
      <c r="A138" s="336"/>
      <c r="B138" s="342" t="s">
        <v>616</v>
      </c>
      <c r="C138" s="323"/>
      <c r="D138" s="323"/>
      <c r="E138" s="323"/>
      <c r="F138" s="323"/>
      <c r="G138" s="323"/>
      <c r="H138" s="323"/>
      <c r="I138" s="338"/>
      <c r="J138" s="340"/>
      <c r="K138" s="67"/>
      <c r="W138" s="68"/>
      <c r="X138" s="68"/>
      <c r="Y138" s="53"/>
      <c r="Z138" s="53"/>
    </row>
    <row r="139" spans="1:26" ht="21" customHeight="1" thickBot="1">
      <c r="A139" s="336"/>
      <c r="B139" s="342"/>
      <c r="C139" s="323"/>
      <c r="D139" s="323"/>
      <c r="E139" s="323"/>
      <c r="F139" s="323"/>
      <c r="G139" s="323"/>
      <c r="H139" s="323"/>
      <c r="I139" s="338"/>
      <c r="J139" s="340"/>
      <c r="K139" s="67"/>
      <c r="W139" s="68"/>
      <c r="X139" s="68"/>
      <c r="Y139" s="53"/>
      <c r="Z139" s="53"/>
    </row>
    <row r="140" spans="1:26" ht="19.5" thickBot="1">
      <c r="A140" s="336"/>
      <c r="B140" s="309">
        <f>G94-1</f>
        <v>2.2999999999999998</v>
      </c>
      <c r="C140" s="323" t="s">
        <v>68</v>
      </c>
      <c r="D140" s="309">
        <f>G104</f>
        <v>17</v>
      </c>
      <c r="E140" s="323" t="s">
        <v>68</v>
      </c>
      <c r="F140" s="309">
        <f>F131</f>
        <v>54.599999999999994</v>
      </c>
      <c r="G140" s="323" t="s">
        <v>67</v>
      </c>
      <c r="H140" s="315">
        <f>B140*D140*F140/2</f>
        <v>1067.4299999999998</v>
      </c>
      <c r="I140" s="338" t="s">
        <v>614</v>
      </c>
      <c r="J140" s="340"/>
      <c r="K140" s="18"/>
      <c r="W140" s="68"/>
      <c r="X140" s="68"/>
      <c r="Y140" s="53"/>
      <c r="Z140" s="53"/>
    </row>
    <row r="141" spans="1:26" ht="16.5" thickBot="1">
      <c r="A141" s="336"/>
      <c r="B141" s="335"/>
      <c r="C141" s="323"/>
      <c r="D141" s="343"/>
      <c r="E141" s="323"/>
      <c r="F141" s="335"/>
      <c r="G141" s="323"/>
      <c r="H141" s="335"/>
      <c r="I141" s="338"/>
      <c r="J141" s="340"/>
      <c r="K141" s="67"/>
      <c r="W141" s="68"/>
      <c r="X141" s="68"/>
      <c r="Y141" s="53"/>
      <c r="Z141" s="53"/>
    </row>
    <row r="142" spans="1:26" ht="19.5" thickBot="1">
      <c r="A142" s="336"/>
      <c r="B142" s="242"/>
      <c r="C142" s="242"/>
      <c r="D142" s="242"/>
      <c r="E142" s="242"/>
      <c r="F142" s="344" t="s">
        <v>66</v>
      </c>
      <c r="G142" s="323" t="s">
        <v>65</v>
      </c>
      <c r="H142" s="315">
        <f>H131+H136+H140</f>
        <v>2148.5099999999998</v>
      </c>
      <c r="I142" s="338" t="s">
        <v>614</v>
      </c>
      <c r="J142" s="340"/>
      <c r="K142" s="67"/>
      <c r="W142" s="68"/>
      <c r="X142" s="68"/>
      <c r="Y142" s="53"/>
      <c r="Z142" s="53"/>
    </row>
    <row r="143" spans="1:26" ht="15.75">
      <c r="A143" s="336"/>
      <c r="B143" s="335"/>
      <c r="C143" s="323"/>
      <c r="D143" s="335"/>
      <c r="E143" s="323"/>
      <c r="F143" s="335"/>
      <c r="G143" s="323"/>
      <c r="H143" s="335"/>
      <c r="I143" s="335"/>
      <c r="J143" s="340"/>
      <c r="K143" s="67"/>
      <c r="W143" s="68"/>
      <c r="X143" s="68"/>
      <c r="Y143" s="53"/>
      <c r="Z143" s="53"/>
    </row>
    <row r="144" spans="1:26" ht="15.75">
      <c r="A144" s="320" t="s">
        <v>64</v>
      </c>
      <c r="B144" s="334" t="s">
        <v>456</v>
      </c>
      <c r="C144" s="323"/>
      <c r="D144" s="323"/>
      <c r="E144" s="323"/>
      <c r="F144" s="323"/>
      <c r="G144" s="323"/>
      <c r="H144" s="323"/>
      <c r="I144" s="335"/>
      <c r="J144" s="340"/>
      <c r="K144" s="67"/>
      <c r="W144" s="68"/>
      <c r="X144" s="68"/>
      <c r="Y144" s="53"/>
      <c r="Z144" s="53"/>
    </row>
    <row r="145" spans="1:26" ht="15.75">
      <c r="A145" s="320"/>
      <c r="B145" s="337" t="s">
        <v>455</v>
      </c>
      <c r="C145" s="323"/>
      <c r="D145" s="323"/>
      <c r="E145" s="323"/>
      <c r="F145" s="323"/>
      <c r="G145" s="323"/>
      <c r="H145" s="323"/>
      <c r="I145" s="335"/>
      <c r="J145" s="340"/>
      <c r="K145" s="67"/>
      <c r="W145" s="68"/>
      <c r="X145" s="68"/>
      <c r="Y145" s="53"/>
      <c r="Z145" s="53"/>
    </row>
    <row r="146" spans="1:26" ht="16.5" thickBot="1">
      <c r="A146" s="320"/>
      <c r="B146" s="337"/>
      <c r="C146" s="323"/>
      <c r="D146" s="323"/>
      <c r="E146" s="323"/>
      <c r="F146" s="323"/>
      <c r="G146" s="323"/>
      <c r="H146" s="323"/>
      <c r="I146" s="335"/>
      <c r="J146" s="340"/>
      <c r="K146" s="18"/>
      <c r="W146" s="68"/>
      <c r="X146" s="68"/>
      <c r="Y146" s="53"/>
      <c r="Z146" s="53"/>
    </row>
    <row r="147" spans="1:26" ht="19.5" thickBot="1">
      <c r="A147" s="325"/>
      <c r="B147" s="325"/>
      <c r="C147" s="309">
        <f>H142</f>
        <v>2148.5099999999998</v>
      </c>
      <c r="D147" s="323" t="s">
        <v>441</v>
      </c>
      <c r="E147" s="315">
        <f>C147/27</f>
        <v>79.574444444444438</v>
      </c>
      <c r="F147" s="321" t="s">
        <v>617</v>
      </c>
      <c r="G147" s="321"/>
      <c r="H147" s="321"/>
      <c r="I147" s="335"/>
      <c r="J147" s="340"/>
      <c r="K147" s="18"/>
      <c r="W147" s="68"/>
      <c r="X147" s="68"/>
      <c r="Y147" s="53"/>
      <c r="Z147" s="53"/>
    </row>
    <row r="148" spans="1:26" ht="15.75">
      <c r="A148" s="325"/>
      <c r="B148" s="325"/>
      <c r="C148" s="335"/>
      <c r="D148" s="323"/>
      <c r="E148" s="335"/>
      <c r="F148" s="321"/>
      <c r="G148" s="321"/>
      <c r="H148" s="321"/>
      <c r="I148" s="335"/>
      <c r="J148" s="340"/>
      <c r="K148" s="67"/>
      <c r="W148" s="68"/>
      <c r="X148" s="68"/>
      <c r="Y148" s="53"/>
      <c r="Z148" s="53"/>
    </row>
    <row r="149" spans="1:26" ht="15.75">
      <c r="A149" s="345" t="s">
        <v>63</v>
      </c>
      <c r="B149" s="346" t="s">
        <v>458</v>
      </c>
      <c r="C149" s="335"/>
      <c r="D149" s="323"/>
      <c r="E149" s="335"/>
      <c r="F149" s="321"/>
      <c r="G149" s="321"/>
      <c r="H149" s="321"/>
      <c r="I149" s="335"/>
      <c r="J149" s="325"/>
      <c r="K149" s="67"/>
      <c r="W149" s="68"/>
      <c r="X149" s="68"/>
      <c r="Y149" s="53"/>
      <c r="Z149" s="53"/>
    </row>
    <row r="150" spans="1:26" ht="15.75">
      <c r="A150" s="345"/>
      <c r="B150" s="341" t="s">
        <v>457</v>
      </c>
      <c r="C150" s="335"/>
      <c r="D150" s="323"/>
      <c r="E150" s="335"/>
      <c r="F150" s="321"/>
      <c r="G150" s="321"/>
      <c r="H150" s="321"/>
      <c r="I150" s="335"/>
      <c r="J150" s="325"/>
      <c r="K150" s="67"/>
      <c r="W150" s="68"/>
      <c r="X150" s="68"/>
      <c r="Y150" s="53"/>
      <c r="Z150" s="53"/>
    </row>
    <row r="151" spans="1:26" ht="16.5" thickBot="1">
      <c r="A151" s="345"/>
      <c r="B151" s="341"/>
      <c r="C151" s="335"/>
      <c r="D151" s="323"/>
      <c r="E151" s="335"/>
      <c r="F151" s="321"/>
      <c r="G151" s="321"/>
      <c r="H151" s="321"/>
      <c r="I151" s="335"/>
      <c r="J151" s="325"/>
      <c r="K151" s="18"/>
      <c r="W151" s="68"/>
      <c r="X151" s="68"/>
      <c r="Y151" s="53"/>
      <c r="Z151" s="53"/>
    </row>
    <row r="152" spans="1:26" ht="19.5" thickBot="1">
      <c r="A152" s="325"/>
      <c r="B152" s="325"/>
      <c r="C152" s="309">
        <f>E147</f>
        <v>79.574444444444438</v>
      </c>
      <c r="D152" s="323" t="s">
        <v>618</v>
      </c>
      <c r="E152" s="315">
        <f>C152*1.4</f>
        <v>111.4042222222222</v>
      </c>
      <c r="F152" s="321" t="s">
        <v>60</v>
      </c>
      <c r="G152" s="321"/>
      <c r="H152" s="321"/>
      <c r="I152" s="335"/>
      <c r="J152" s="325"/>
      <c r="K152" s="18"/>
      <c r="W152" s="68"/>
      <c r="X152" s="68"/>
      <c r="Y152" s="53"/>
      <c r="Z152" s="53"/>
    </row>
    <row r="153" spans="1:26" ht="15.75">
      <c r="A153" s="298"/>
      <c r="B153" s="298"/>
      <c r="C153" s="298"/>
      <c r="D153" s="298"/>
      <c r="E153" s="298"/>
      <c r="F153" s="298"/>
      <c r="G153" s="298"/>
      <c r="H153" s="298"/>
      <c r="I153" s="298"/>
      <c r="J153" s="325"/>
      <c r="K153" s="18"/>
      <c r="W153" s="68"/>
      <c r="X153" s="68"/>
      <c r="Y153" s="53"/>
      <c r="Z153" s="53"/>
    </row>
    <row r="154" spans="1:26" ht="15.75">
      <c r="A154" s="249">
        <v>4</v>
      </c>
      <c r="B154" s="298" t="s">
        <v>62</v>
      </c>
      <c r="C154" s="298"/>
      <c r="D154" s="298"/>
      <c r="E154" s="298"/>
      <c r="F154" s="298"/>
      <c r="G154" s="298"/>
      <c r="H154" s="298"/>
      <c r="I154" s="298"/>
      <c r="J154" s="298"/>
      <c r="K154" s="18"/>
      <c r="W154" s="68"/>
      <c r="X154" s="68"/>
      <c r="Y154" s="53"/>
      <c r="Z154" s="53"/>
    </row>
    <row r="155" spans="1:26" ht="16.5" thickBot="1">
      <c r="A155" s="249"/>
      <c r="B155" s="242"/>
      <c r="C155" s="298"/>
      <c r="D155" s="298"/>
      <c r="E155" s="298"/>
      <c r="F155" s="298"/>
      <c r="G155" s="298"/>
      <c r="H155" s="298"/>
      <c r="I155" s="298"/>
      <c r="J155" s="298"/>
      <c r="K155" s="68"/>
      <c r="W155" s="68"/>
      <c r="X155" s="68"/>
      <c r="Y155" s="53"/>
      <c r="Z155" s="53"/>
    </row>
    <row r="156" spans="1:26" ht="16.5" thickBot="1">
      <c r="A156" s="298"/>
      <c r="B156" s="298"/>
      <c r="C156" s="309">
        <f>E152</f>
        <v>111.4042222222222</v>
      </c>
      <c r="D156" s="242" t="s">
        <v>61</v>
      </c>
      <c r="E156" s="315">
        <f>C156*1.1</f>
        <v>122.54464444444443</v>
      </c>
      <c r="F156" s="242" t="s">
        <v>60</v>
      </c>
      <c r="G156" s="298"/>
      <c r="H156" s="298"/>
      <c r="I156" s="298"/>
      <c r="J156" s="298"/>
      <c r="K156" s="68"/>
      <c r="W156" s="68"/>
      <c r="X156" s="68"/>
      <c r="Y156" s="53"/>
      <c r="Z156" s="53"/>
    </row>
    <row r="157" spans="1:26" ht="15.75">
      <c r="A157" s="299"/>
      <c r="B157" s="242"/>
      <c r="C157" s="242"/>
      <c r="D157" s="242"/>
      <c r="E157" s="242"/>
      <c r="F157" s="298"/>
      <c r="G157" s="298"/>
      <c r="H157" s="298"/>
      <c r="I157" s="298"/>
      <c r="J157" s="298"/>
      <c r="K157" s="36"/>
      <c r="W157" s="36"/>
      <c r="X157" s="68"/>
      <c r="Y157" s="53"/>
      <c r="Z157" s="53"/>
    </row>
    <row r="158" spans="1:26" ht="15.75">
      <c r="A158" s="299"/>
      <c r="B158" s="242"/>
      <c r="C158" s="242"/>
      <c r="D158" s="242"/>
      <c r="E158" s="242"/>
      <c r="F158" s="242"/>
      <c r="G158" s="242"/>
      <c r="H158" s="298"/>
      <c r="I158" s="298"/>
      <c r="J158" s="298"/>
      <c r="K158" s="99"/>
      <c r="W158" s="70"/>
      <c r="X158" s="68"/>
      <c r="Y158" s="53"/>
      <c r="Z158" s="53"/>
    </row>
    <row r="159" spans="1:26" ht="21" customHeight="1">
      <c r="A159" s="349" t="s">
        <v>74</v>
      </c>
      <c r="B159" s="350" t="s">
        <v>116</v>
      </c>
      <c r="C159" s="350"/>
      <c r="D159" s="350"/>
      <c r="E159" s="350"/>
      <c r="F159" s="350"/>
      <c r="G159" s="350"/>
      <c r="H159" s="350"/>
      <c r="I159" s="293"/>
      <c r="J159" s="292"/>
      <c r="K159" s="99"/>
      <c r="W159" s="70"/>
      <c r="X159" s="68"/>
      <c r="Y159" s="53"/>
      <c r="Z159" s="53"/>
    </row>
    <row r="160" spans="1:26" ht="15.75">
      <c r="A160" s="301"/>
      <c r="B160" s="300"/>
      <c r="C160" s="300"/>
      <c r="D160" s="300"/>
      <c r="E160" s="300"/>
      <c r="F160" s="300"/>
      <c r="G160" s="300"/>
      <c r="H160" s="300"/>
      <c r="I160" s="264"/>
      <c r="J160" s="264"/>
      <c r="K160" s="99"/>
      <c r="W160" s="68"/>
      <c r="X160" s="68"/>
      <c r="Y160" s="53"/>
      <c r="Z160" s="53"/>
    </row>
    <row r="161" spans="1:26" ht="15.75">
      <c r="A161" s="308" t="s">
        <v>57</v>
      </c>
      <c r="B161" s="808" t="s">
        <v>619</v>
      </c>
      <c r="C161" s="808"/>
      <c r="D161" s="808"/>
      <c r="E161" s="244"/>
      <c r="F161" s="244"/>
      <c r="G161" s="244"/>
      <c r="H161" s="244"/>
      <c r="I161" s="264"/>
      <c r="J161" s="264"/>
      <c r="K161" s="99"/>
      <c r="W161" s="68"/>
      <c r="X161" s="68"/>
      <c r="Y161" s="53"/>
      <c r="Z161" s="53"/>
    </row>
    <row r="162" spans="1:26" ht="16.5" thickBot="1">
      <c r="A162" s="308"/>
      <c r="B162" s="314"/>
      <c r="C162" s="244"/>
      <c r="D162" s="244"/>
      <c r="E162" s="244"/>
      <c r="F162" s="244"/>
      <c r="G162" s="244"/>
      <c r="H162" s="244"/>
      <c r="I162" s="264"/>
      <c r="J162" s="264"/>
      <c r="K162" s="99"/>
      <c r="W162" s="68"/>
      <c r="X162" s="68"/>
      <c r="Y162" s="53"/>
      <c r="Z162" s="53"/>
    </row>
    <row r="163" spans="1:26" ht="19.5" thickBot="1">
      <c r="A163" s="308"/>
      <c r="B163" s="244"/>
      <c r="C163" s="309">
        <f>F34</f>
        <v>380</v>
      </c>
      <c r="D163" s="245" t="s">
        <v>115</v>
      </c>
      <c r="E163" s="590">
        <v>1</v>
      </c>
      <c r="F163" s="244" t="s">
        <v>79</v>
      </c>
      <c r="G163" s="315">
        <f>C163*E163</f>
        <v>380</v>
      </c>
      <c r="H163" s="244" t="s">
        <v>614</v>
      </c>
      <c r="I163" s="264"/>
      <c r="J163" s="264"/>
      <c r="K163" s="99"/>
      <c r="W163" s="70"/>
      <c r="X163" s="68"/>
      <c r="Y163" s="53"/>
      <c r="Z163" s="53"/>
    </row>
    <row r="164" spans="1:26" ht="15.75">
      <c r="A164" s="308"/>
      <c r="B164" s="244"/>
      <c r="C164" s="244"/>
      <c r="D164" s="244"/>
      <c r="E164" s="259" t="s">
        <v>444</v>
      </c>
      <c r="F164" s="244"/>
      <c r="G164" s="244"/>
      <c r="H164" s="244"/>
      <c r="I164" s="264"/>
      <c r="J164" s="264"/>
      <c r="K164" s="99"/>
      <c r="W164" s="68"/>
      <c r="X164" s="68"/>
      <c r="Y164" s="53"/>
      <c r="Z164" s="53"/>
    </row>
    <row r="165" spans="1:26" ht="18">
      <c r="A165" s="308" t="s">
        <v>64</v>
      </c>
      <c r="B165" s="807" t="s">
        <v>620</v>
      </c>
      <c r="C165" s="807"/>
      <c r="D165" s="807"/>
      <c r="E165" s="244"/>
      <c r="F165" s="244"/>
      <c r="G165" s="244"/>
      <c r="H165" s="244"/>
      <c r="I165" s="264"/>
      <c r="J165" s="264"/>
      <c r="K165" s="99"/>
      <c r="W165" s="68"/>
      <c r="X165" s="68"/>
      <c r="Y165" s="53"/>
      <c r="Z165" s="53"/>
    </row>
    <row r="166" spans="1:26" ht="16.5" thickBot="1">
      <c r="A166" s="308"/>
      <c r="B166" s="318"/>
      <c r="C166" s="318"/>
      <c r="D166" s="318"/>
      <c r="E166" s="244"/>
      <c r="F166" s="244"/>
      <c r="G166" s="244"/>
      <c r="H166" s="244"/>
      <c r="I166" s="264"/>
      <c r="J166" s="264"/>
      <c r="K166" s="99"/>
      <c r="W166" s="68"/>
      <c r="X166" s="68"/>
      <c r="Y166" s="53"/>
      <c r="Z166" s="53"/>
    </row>
    <row r="167" spans="1:26" ht="19.5" thickBot="1">
      <c r="A167" s="308"/>
      <c r="B167" s="244"/>
      <c r="C167" s="309">
        <f>G163</f>
        <v>380</v>
      </c>
      <c r="D167" s="244" t="s">
        <v>621</v>
      </c>
      <c r="E167" s="347">
        <f>C167/27</f>
        <v>14.074074074074074</v>
      </c>
      <c r="F167" s="244" t="s">
        <v>622</v>
      </c>
      <c r="G167" s="244"/>
      <c r="H167" s="244"/>
      <c r="I167" s="264"/>
      <c r="J167" s="264"/>
      <c r="K167" s="18"/>
      <c r="W167" s="68"/>
      <c r="X167" s="68"/>
      <c r="Y167" s="53"/>
      <c r="Z167" s="53"/>
    </row>
    <row r="168" spans="1:26" ht="15.75">
      <c r="A168" s="308"/>
      <c r="B168" s="244"/>
      <c r="C168" s="244"/>
      <c r="D168" s="244"/>
      <c r="E168" s="244"/>
      <c r="F168" s="244"/>
      <c r="G168" s="244"/>
      <c r="H168" s="244"/>
      <c r="I168" s="264"/>
      <c r="J168" s="264"/>
      <c r="K168" s="68"/>
      <c r="W168" s="68"/>
      <c r="X168" s="68"/>
      <c r="Y168" s="53"/>
      <c r="Z168" s="53"/>
    </row>
    <row r="169" spans="1:26" ht="15.75">
      <c r="A169" s="308" t="s">
        <v>63</v>
      </c>
      <c r="B169" s="244" t="s">
        <v>623</v>
      </c>
      <c r="C169" s="244"/>
      <c r="D169" s="244"/>
      <c r="E169" s="244"/>
      <c r="F169" s="244"/>
      <c r="G169" s="244"/>
      <c r="H169" s="244"/>
      <c r="I169" s="264"/>
      <c r="J169" s="264"/>
      <c r="K169" s="68"/>
      <c r="W169" s="68"/>
      <c r="X169" s="68"/>
      <c r="Y169" s="53"/>
      <c r="Z169" s="53"/>
    </row>
    <row r="170" spans="1:26" ht="16.5" thickBot="1">
      <c r="A170" s="308"/>
      <c r="B170" s="244"/>
      <c r="C170" s="244"/>
      <c r="D170" s="244"/>
      <c r="E170" s="244"/>
      <c r="F170" s="244"/>
      <c r="G170" s="244"/>
      <c r="H170" s="244"/>
      <c r="I170" s="264"/>
      <c r="J170" s="264"/>
      <c r="K170" s="18"/>
      <c r="W170" s="68"/>
      <c r="X170" s="68"/>
      <c r="Y170" s="53"/>
      <c r="Z170" s="53"/>
    </row>
    <row r="171" spans="1:26" ht="19.5" thickBot="1">
      <c r="A171" s="302"/>
      <c r="B171" s="244"/>
      <c r="C171" s="309">
        <f>E167</f>
        <v>14.074074074074074</v>
      </c>
      <c r="D171" s="244" t="s">
        <v>624</v>
      </c>
      <c r="E171" s="244"/>
      <c r="F171" s="315">
        <f>C171*1.4</f>
        <v>19.703703703703702</v>
      </c>
      <c r="G171" s="244" t="s">
        <v>60</v>
      </c>
      <c r="H171" s="244"/>
      <c r="I171" s="264"/>
      <c r="J171" s="264"/>
      <c r="K171" s="68"/>
      <c r="W171" s="68"/>
      <c r="X171" s="68"/>
      <c r="Y171" s="53"/>
      <c r="Z171" s="53"/>
    </row>
    <row r="172" spans="1:26" ht="15.75">
      <c r="A172" s="302"/>
      <c r="B172" s="244"/>
      <c r="C172" s="244"/>
      <c r="D172" s="244"/>
      <c r="E172" s="244"/>
      <c r="F172" s="244"/>
      <c r="G172" s="244"/>
      <c r="H172" s="244"/>
      <c r="I172" s="264"/>
      <c r="J172" s="264"/>
      <c r="K172" s="18"/>
      <c r="W172" s="68"/>
      <c r="X172" s="68"/>
      <c r="Y172" s="53"/>
      <c r="Z172" s="53"/>
    </row>
    <row r="173" spans="1:26" ht="15.75">
      <c r="A173" s="299"/>
      <c r="B173" s="264"/>
      <c r="C173" s="264"/>
      <c r="D173" s="264"/>
      <c r="E173" s="264"/>
      <c r="F173" s="264"/>
      <c r="G173" s="264"/>
      <c r="H173" s="264"/>
      <c r="I173" s="264"/>
      <c r="J173" s="264"/>
      <c r="K173" s="112"/>
      <c r="W173" s="68"/>
      <c r="X173" s="68"/>
      <c r="Y173" s="53"/>
      <c r="Z173" s="53"/>
    </row>
    <row r="174" spans="1:26" ht="15.75">
      <c r="A174" s="299"/>
      <c r="B174" s="264"/>
      <c r="C174" s="264"/>
      <c r="D174" s="264"/>
      <c r="E174" s="264"/>
      <c r="F174" s="264"/>
      <c r="G174" s="264"/>
      <c r="H174" s="264"/>
      <c r="I174" s="264"/>
      <c r="J174" s="264"/>
      <c r="K174" s="112"/>
      <c r="W174" s="68"/>
      <c r="X174" s="18"/>
      <c r="Y174" s="53"/>
      <c r="Z174" s="53"/>
    </row>
    <row r="175" spans="1:26" ht="15.75">
      <c r="A175" s="299"/>
      <c r="B175" s="264"/>
      <c r="C175" s="264"/>
      <c r="D175" s="264"/>
      <c r="E175" s="264"/>
      <c r="F175" s="264"/>
      <c r="G175" s="264"/>
      <c r="H175" s="264"/>
      <c r="I175" s="264"/>
      <c r="J175" s="264"/>
      <c r="K175" s="68"/>
      <c r="W175" s="68"/>
      <c r="X175" s="18"/>
      <c r="Y175" s="53"/>
      <c r="Z175" s="53"/>
    </row>
    <row r="176" spans="1:26" ht="15.75">
      <c r="A176" s="299"/>
      <c r="B176" s="264"/>
      <c r="C176" s="264"/>
      <c r="D176" s="264"/>
      <c r="E176" s="264"/>
      <c r="F176" s="264"/>
      <c r="G176" s="264"/>
      <c r="H176" s="264"/>
      <c r="I176" s="264"/>
      <c r="J176" s="264"/>
      <c r="K176" s="68"/>
      <c r="W176" s="68"/>
      <c r="X176" s="18"/>
      <c r="Y176" s="53"/>
      <c r="Z176" s="53"/>
    </row>
    <row r="177" spans="1:26" ht="15.75">
      <c r="A177" s="299"/>
      <c r="B177" s="264"/>
      <c r="C177" s="264"/>
      <c r="D177" s="264"/>
      <c r="E177" s="264"/>
      <c r="F177" s="264"/>
      <c r="G177" s="264"/>
      <c r="H177" s="264"/>
      <c r="I177" s="264"/>
      <c r="J177" s="264"/>
      <c r="K177" s="68"/>
      <c r="W177" s="68"/>
      <c r="X177" s="18"/>
      <c r="Y177" s="53"/>
      <c r="Z177" s="53"/>
    </row>
    <row r="178" spans="1:26" ht="15.75">
      <c r="A178" s="242"/>
      <c r="B178" s="264"/>
      <c r="C178" s="264"/>
      <c r="D178" s="264"/>
      <c r="E178" s="264"/>
      <c r="F178" s="264"/>
      <c r="G178" s="264"/>
      <c r="H178" s="264"/>
      <c r="I178" s="264"/>
      <c r="J178" s="264"/>
      <c r="K178" s="68"/>
      <c r="W178" s="68"/>
      <c r="X178" s="18"/>
      <c r="Y178" s="53"/>
      <c r="Z178" s="53"/>
    </row>
    <row r="179" spans="1:26" ht="15.75">
      <c r="A179" s="242"/>
      <c r="B179" s="264"/>
      <c r="C179" s="264"/>
      <c r="D179" s="264"/>
      <c r="E179" s="264"/>
      <c r="F179" s="264"/>
      <c r="G179" s="264"/>
      <c r="H179" s="264"/>
      <c r="I179" s="264"/>
      <c r="J179" s="264"/>
      <c r="K179" s="68"/>
      <c r="W179" s="68"/>
      <c r="X179" s="18"/>
      <c r="Y179" s="53"/>
      <c r="Z179" s="53"/>
    </row>
    <row r="180" spans="1:26" ht="15.75">
      <c r="A180" s="299"/>
      <c r="B180" s="264"/>
      <c r="C180" s="264"/>
      <c r="D180" s="264"/>
      <c r="E180" s="264"/>
      <c r="F180" s="264"/>
      <c r="G180" s="264"/>
      <c r="H180" s="264"/>
      <c r="I180" s="264"/>
      <c r="J180" s="264"/>
      <c r="K180" s="68"/>
      <c r="W180" s="68"/>
      <c r="X180" s="18"/>
      <c r="Y180" s="53"/>
      <c r="Z180" s="53"/>
    </row>
    <row r="181" spans="1:26" ht="15.75">
      <c r="A181" s="299"/>
      <c r="B181" s="264"/>
      <c r="C181" s="264"/>
      <c r="D181" s="264"/>
      <c r="E181" s="264"/>
      <c r="F181" s="264"/>
      <c r="G181" s="264"/>
      <c r="H181" s="264"/>
      <c r="I181" s="264"/>
      <c r="J181" s="264"/>
      <c r="K181" s="68"/>
      <c r="W181" s="18"/>
      <c r="X181" s="18"/>
      <c r="Y181" s="53"/>
      <c r="Z181" s="53"/>
    </row>
    <row r="182" spans="1:26" ht="15.75">
      <c r="A182" s="299"/>
      <c r="B182" s="264"/>
      <c r="C182" s="264"/>
      <c r="D182" s="264"/>
      <c r="E182" s="264"/>
      <c r="F182" s="264"/>
      <c r="G182" s="264"/>
      <c r="H182" s="264"/>
      <c r="I182" s="264"/>
      <c r="J182" s="264"/>
      <c r="K182" s="68"/>
      <c r="W182" s="18"/>
      <c r="X182" s="18"/>
      <c r="Y182" s="53"/>
      <c r="Z182" s="53"/>
    </row>
    <row r="183" spans="1:26" ht="15.75">
      <c r="A183" s="299"/>
      <c r="B183" s="264"/>
      <c r="C183" s="264"/>
      <c r="D183" s="264"/>
      <c r="E183" s="264"/>
      <c r="F183" s="264"/>
      <c r="G183" s="264"/>
      <c r="H183" s="264"/>
      <c r="I183" s="264"/>
      <c r="J183" s="264"/>
      <c r="K183" s="68"/>
      <c r="W183" s="18"/>
      <c r="X183" s="18"/>
      <c r="Y183" s="53"/>
      <c r="Z183" s="53"/>
    </row>
    <row r="184" spans="1:26" ht="15.75">
      <c r="A184" s="299"/>
      <c r="B184" s="264"/>
      <c r="C184" s="264"/>
      <c r="D184" s="264"/>
      <c r="E184" s="264"/>
      <c r="F184" s="264"/>
      <c r="G184" s="264"/>
      <c r="H184" s="264"/>
      <c r="I184" s="264"/>
      <c r="J184" s="264"/>
      <c r="K184" s="68"/>
      <c r="W184" s="18"/>
      <c r="X184" s="18"/>
      <c r="Y184" s="53"/>
      <c r="Z184" s="53"/>
    </row>
    <row r="185" spans="1:26" ht="15.75">
      <c r="A185" s="299"/>
      <c r="B185" s="264"/>
      <c r="C185" s="264"/>
      <c r="D185" s="264"/>
      <c r="E185" s="264"/>
      <c r="F185" s="264"/>
      <c r="G185" s="264"/>
      <c r="H185" s="264"/>
      <c r="I185" s="264"/>
      <c r="J185" s="264"/>
      <c r="K185" s="18"/>
      <c r="W185" s="18"/>
      <c r="X185" s="18"/>
      <c r="Y185" s="53"/>
      <c r="Z185" s="53"/>
    </row>
    <row r="186" spans="1:26" ht="15.75">
      <c r="A186" s="299"/>
      <c r="B186" s="264"/>
      <c r="C186" s="264"/>
      <c r="D186" s="264"/>
      <c r="E186" s="264"/>
      <c r="F186" s="264"/>
      <c r="G186" s="264"/>
      <c r="H186" s="264"/>
      <c r="I186" s="264"/>
      <c r="J186" s="264"/>
      <c r="K186" s="68"/>
      <c r="W186" s="18"/>
      <c r="X186" s="18"/>
      <c r="Y186" s="53"/>
      <c r="Z186" s="53"/>
    </row>
    <row r="187" spans="1:26" ht="15.75">
      <c r="A187" s="242"/>
      <c r="B187" s="264"/>
      <c r="C187" s="264"/>
      <c r="D187" s="264"/>
      <c r="E187" s="264"/>
      <c r="F187" s="264"/>
      <c r="G187" s="264"/>
      <c r="H187" s="264"/>
      <c r="I187" s="264"/>
      <c r="J187" s="264"/>
      <c r="K187" s="68"/>
      <c r="W187" s="18"/>
      <c r="X187" s="18"/>
      <c r="Y187" s="53"/>
      <c r="Z187" s="53"/>
    </row>
    <row r="188" spans="1:26" ht="15.75">
      <c r="A188" s="242"/>
      <c r="B188" s="264"/>
      <c r="C188" s="264"/>
      <c r="D188" s="264"/>
      <c r="E188" s="264"/>
      <c r="F188" s="264"/>
      <c r="G188" s="264"/>
      <c r="H188" s="264"/>
      <c r="I188" s="264"/>
      <c r="J188" s="264"/>
      <c r="K188" s="68"/>
      <c r="W188" s="18"/>
      <c r="X188" s="18"/>
      <c r="Y188" s="53"/>
      <c r="Z188" s="53"/>
    </row>
    <row r="189" spans="1:26" ht="15.75">
      <c r="A189" s="242"/>
      <c r="B189" s="264"/>
      <c r="C189" s="264"/>
      <c r="D189" s="264"/>
      <c r="E189" s="264"/>
      <c r="F189" s="264"/>
      <c r="G189" s="264"/>
      <c r="H189" s="264"/>
      <c r="I189" s="264"/>
      <c r="J189" s="264"/>
      <c r="K189" s="18"/>
      <c r="W189" s="18"/>
      <c r="X189" s="18"/>
      <c r="Y189" s="53"/>
      <c r="Z189" s="53"/>
    </row>
    <row r="190" spans="1:26" ht="15.75">
      <c r="A190" s="242"/>
      <c r="B190" s="264"/>
      <c r="C190" s="264"/>
      <c r="D190" s="264"/>
      <c r="E190" s="264"/>
      <c r="F190" s="264"/>
      <c r="G190" s="264"/>
      <c r="H190" s="264"/>
      <c r="I190" s="264"/>
      <c r="J190" s="264"/>
      <c r="K190" s="18"/>
      <c r="W190" s="18"/>
      <c r="X190" s="18"/>
      <c r="Y190" s="53"/>
      <c r="Z190" s="53"/>
    </row>
    <row r="191" spans="1:26" ht="15.75">
      <c r="A191" s="242"/>
      <c r="B191" s="264"/>
      <c r="C191" s="264"/>
      <c r="D191" s="264"/>
      <c r="E191" s="264"/>
      <c r="F191" s="264"/>
      <c r="G191" s="264"/>
      <c r="H191" s="264"/>
      <c r="I191" s="264"/>
      <c r="J191" s="264"/>
      <c r="K191" s="18"/>
      <c r="W191" s="18"/>
      <c r="X191" s="18"/>
      <c r="Y191" s="53"/>
      <c r="Z191" s="53"/>
    </row>
    <row r="192" spans="1:26" ht="15.75">
      <c r="A192" s="298"/>
      <c r="B192" s="264"/>
      <c r="C192" s="264"/>
      <c r="D192" s="264"/>
      <c r="E192" s="264"/>
      <c r="F192" s="264"/>
      <c r="G192" s="264"/>
      <c r="H192" s="264"/>
      <c r="I192" s="264"/>
      <c r="J192" s="264"/>
      <c r="K192" s="18"/>
      <c r="L192" s="18"/>
      <c r="M192" s="18"/>
      <c r="N192" s="18"/>
      <c r="O192" s="18"/>
      <c r="P192" s="18"/>
      <c r="Q192" s="18"/>
      <c r="R192" s="18"/>
      <c r="S192" s="18"/>
      <c r="T192" s="18"/>
      <c r="U192" s="18"/>
      <c r="V192" s="18"/>
      <c r="W192" s="18"/>
      <c r="X192" s="18"/>
      <c r="Y192" s="53"/>
      <c r="Z192" s="53"/>
    </row>
    <row r="193" spans="1:26" ht="15.75">
      <c r="A193" s="245"/>
      <c r="B193" s="264"/>
      <c r="C193" s="264"/>
      <c r="D193" s="264"/>
      <c r="E193" s="264"/>
      <c r="F193" s="264"/>
      <c r="G193" s="264"/>
      <c r="H193" s="264"/>
      <c r="I193" s="264"/>
      <c r="J193" s="264"/>
      <c r="K193" s="18"/>
      <c r="L193" s="18"/>
      <c r="M193" s="18"/>
      <c r="N193" s="18"/>
      <c r="O193" s="18"/>
      <c r="P193" s="18"/>
      <c r="Q193" s="18"/>
      <c r="R193" s="18"/>
      <c r="S193" s="18"/>
      <c r="T193" s="18"/>
      <c r="U193" s="18"/>
      <c r="V193" s="18"/>
      <c r="W193" s="18"/>
      <c r="X193" s="18"/>
      <c r="Y193" s="53"/>
      <c r="Z193" s="53"/>
    </row>
    <row r="194" spans="1:26" ht="15">
      <c r="A194" s="245"/>
      <c r="B194" s="264"/>
      <c r="C194" s="264"/>
      <c r="D194" s="264"/>
      <c r="E194" s="264"/>
      <c r="F194" s="264"/>
      <c r="G194" s="264"/>
      <c r="H194" s="264"/>
      <c r="I194" s="264"/>
      <c r="J194" s="264"/>
      <c r="P194" s="53"/>
      <c r="Q194" s="53"/>
      <c r="R194" s="53"/>
      <c r="S194" s="53"/>
      <c r="T194" s="53"/>
      <c r="U194" s="53"/>
      <c r="V194" s="53"/>
      <c r="W194" s="53"/>
      <c r="X194" s="53"/>
      <c r="Y194" s="53"/>
      <c r="Z194" s="53"/>
    </row>
    <row r="195" spans="1:26" ht="15">
      <c r="A195" s="245"/>
      <c r="B195" s="264"/>
      <c r="C195" s="264"/>
      <c r="D195" s="264"/>
      <c r="E195" s="264"/>
      <c r="F195" s="264"/>
      <c r="G195" s="264"/>
      <c r="H195" s="264"/>
      <c r="I195" s="264"/>
      <c r="J195" s="264"/>
      <c r="P195" s="53"/>
      <c r="Q195" s="53"/>
      <c r="R195" s="53"/>
      <c r="S195" s="53"/>
      <c r="T195" s="53"/>
      <c r="U195" s="53"/>
      <c r="V195" s="53"/>
      <c r="W195" s="53"/>
      <c r="X195" s="53"/>
      <c r="Y195" s="53"/>
      <c r="Z195" s="53"/>
    </row>
    <row r="196" spans="1:26" ht="15">
      <c r="A196" s="245"/>
      <c r="B196" s="264"/>
      <c r="C196" s="264"/>
      <c r="D196" s="264"/>
      <c r="E196" s="264"/>
      <c r="F196" s="264"/>
      <c r="G196" s="264"/>
      <c r="H196" s="264"/>
      <c r="I196" s="264"/>
      <c r="J196" s="264"/>
      <c r="P196" s="53"/>
      <c r="Q196" s="53"/>
      <c r="R196" s="53"/>
      <c r="S196" s="53"/>
      <c r="T196" s="53"/>
      <c r="U196" s="53"/>
      <c r="V196" s="53"/>
      <c r="W196" s="53"/>
      <c r="X196" s="53"/>
      <c r="Y196" s="53"/>
      <c r="Z196" s="53"/>
    </row>
    <row r="197" spans="1:26" ht="15">
      <c r="A197" s="245"/>
      <c r="B197" s="264"/>
      <c r="C197" s="264"/>
      <c r="D197" s="264"/>
      <c r="E197" s="264"/>
      <c r="F197" s="264"/>
      <c r="G197" s="264"/>
      <c r="H197" s="264"/>
      <c r="I197" s="264"/>
      <c r="J197" s="264"/>
      <c r="P197" s="53"/>
      <c r="Q197" s="53"/>
      <c r="R197" s="53"/>
      <c r="S197" s="53"/>
      <c r="T197" s="53"/>
      <c r="U197" s="53"/>
      <c r="V197" s="53"/>
      <c r="W197" s="53"/>
      <c r="X197" s="53"/>
      <c r="Y197" s="53"/>
      <c r="Z197" s="53"/>
    </row>
    <row r="198" spans="1:26" ht="15">
      <c r="A198" s="245"/>
      <c r="B198" s="264"/>
      <c r="C198" s="264"/>
      <c r="D198" s="264"/>
      <c r="E198" s="264"/>
      <c r="F198" s="264"/>
      <c r="G198" s="264"/>
      <c r="H198" s="264"/>
      <c r="I198" s="264"/>
      <c r="J198" s="264"/>
      <c r="P198" s="53"/>
      <c r="Q198" s="53"/>
      <c r="R198" s="53"/>
      <c r="S198" s="53"/>
      <c r="T198" s="53"/>
      <c r="U198" s="53"/>
      <c r="V198" s="53"/>
      <c r="W198" s="53"/>
      <c r="X198" s="53"/>
      <c r="Y198" s="53"/>
      <c r="Z198" s="53"/>
    </row>
    <row r="199" spans="1:26" ht="15">
      <c r="A199" s="245"/>
      <c r="B199" s="264"/>
      <c r="C199" s="264"/>
      <c r="D199" s="264"/>
      <c r="E199" s="264"/>
      <c r="F199" s="264"/>
      <c r="G199" s="264"/>
      <c r="H199" s="264"/>
      <c r="I199" s="264"/>
      <c r="J199" s="264"/>
      <c r="P199" s="53"/>
      <c r="Q199" s="53"/>
      <c r="R199" s="53"/>
      <c r="S199" s="53"/>
      <c r="T199" s="53"/>
      <c r="U199" s="53"/>
      <c r="V199" s="53"/>
      <c r="W199" s="53"/>
      <c r="X199" s="53"/>
      <c r="Y199" s="53"/>
      <c r="Z199" s="53"/>
    </row>
    <row r="200" spans="1:26" ht="15">
      <c r="A200" s="245"/>
      <c r="B200" s="264"/>
      <c r="C200" s="264"/>
      <c r="D200" s="264"/>
      <c r="E200" s="264"/>
      <c r="F200" s="264"/>
      <c r="G200" s="264"/>
      <c r="H200" s="264"/>
      <c r="I200" s="264"/>
      <c r="J200" s="264"/>
      <c r="P200" s="53"/>
      <c r="Q200" s="53"/>
      <c r="R200" s="53"/>
      <c r="S200" s="53"/>
      <c r="T200" s="53"/>
      <c r="U200" s="53"/>
      <c r="V200" s="53"/>
      <c r="W200" s="53"/>
      <c r="X200" s="53"/>
      <c r="Y200" s="53"/>
      <c r="Z200" s="53"/>
    </row>
    <row r="201" spans="1:26" ht="15">
      <c r="A201" s="245"/>
      <c r="B201" s="264"/>
      <c r="C201" s="264"/>
      <c r="D201" s="264"/>
      <c r="E201" s="264"/>
      <c r="F201" s="264"/>
      <c r="G201" s="264"/>
      <c r="H201" s="264"/>
      <c r="I201" s="264"/>
      <c r="J201" s="264"/>
      <c r="P201" s="53"/>
      <c r="Q201" s="53"/>
      <c r="R201" s="53"/>
      <c r="S201" s="53"/>
      <c r="T201" s="53"/>
      <c r="U201" s="53"/>
      <c r="V201" s="53"/>
      <c r="W201" s="53"/>
      <c r="X201" s="53"/>
      <c r="Y201" s="53"/>
      <c r="Z201" s="53"/>
    </row>
    <row r="202" spans="1:26" ht="15">
      <c r="A202" s="242"/>
      <c r="B202" s="264"/>
      <c r="C202" s="264"/>
      <c r="D202" s="264"/>
      <c r="E202" s="264"/>
      <c r="F202" s="264"/>
      <c r="G202" s="264"/>
      <c r="H202" s="264"/>
      <c r="I202" s="264"/>
      <c r="J202" s="264"/>
      <c r="P202" s="53"/>
      <c r="Q202" s="53"/>
      <c r="R202" s="53"/>
      <c r="S202" s="53"/>
      <c r="T202" s="53"/>
      <c r="U202" s="53"/>
      <c r="V202" s="53"/>
      <c r="W202" s="53"/>
      <c r="X202" s="53"/>
      <c r="Y202" s="53"/>
      <c r="Z202" s="53"/>
    </row>
    <row r="203" spans="1:26" ht="15">
      <c r="A203" s="242"/>
      <c r="B203" s="264"/>
      <c r="C203" s="264"/>
      <c r="D203" s="264"/>
      <c r="E203" s="264"/>
      <c r="F203" s="264"/>
      <c r="G203" s="264"/>
      <c r="H203" s="264"/>
      <c r="I203" s="264"/>
      <c r="J203" s="264"/>
      <c r="P203" s="53"/>
      <c r="Q203" s="53"/>
      <c r="R203" s="53"/>
      <c r="S203" s="53"/>
      <c r="T203" s="53"/>
      <c r="U203" s="53"/>
      <c r="V203" s="53"/>
      <c r="W203" s="53"/>
      <c r="X203" s="53"/>
      <c r="Y203" s="53"/>
      <c r="Z203" s="53"/>
    </row>
    <row r="204" spans="1:26" ht="15">
      <c r="A204" s="242"/>
      <c r="B204" s="264"/>
      <c r="C204" s="264"/>
      <c r="D204" s="264"/>
      <c r="E204" s="264"/>
      <c r="F204" s="264"/>
      <c r="G204" s="264"/>
      <c r="H204" s="264"/>
      <c r="I204" s="264"/>
      <c r="J204" s="264"/>
      <c r="P204" s="53"/>
      <c r="Q204" s="53"/>
      <c r="R204" s="53"/>
      <c r="S204" s="53"/>
      <c r="T204" s="53"/>
      <c r="U204" s="53"/>
      <c r="V204" s="53"/>
      <c r="W204" s="53"/>
      <c r="X204" s="53"/>
      <c r="Y204" s="53"/>
      <c r="Z204" s="53"/>
    </row>
    <row r="205" spans="1:26" ht="15">
      <c r="A205" s="242"/>
      <c r="B205" s="264"/>
      <c r="C205" s="264"/>
      <c r="D205" s="264"/>
      <c r="E205" s="264"/>
      <c r="F205" s="264"/>
      <c r="G205" s="264"/>
      <c r="H205" s="264"/>
      <c r="I205" s="264"/>
      <c r="J205" s="264"/>
      <c r="P205" s="53"/>
      <c r="Q205" s="53"/>
      <c r="R205" s="53"/>
      <c r="S205" s="53"/>
      <c r="T205" s="53"/>
      <c r="U205" s="53"/>
      <c r="V205" s="53"/>
      <c r="W205" s="53"/>
      <c r="X205" s="53"/>
      <c r="Y205" s="53"/>
      <c r="Z205" s="53"/>
    </row>
    <row r="206" spans="1:26" ht="15">
      <c r="A206" s="242"/>
      <c r="B206" s="264"/>
      <c r="C206" s="264"/>
      <c r="D206" s="264"/>
      <c r="E206" s="264"/>
      <c r="F206" s="264"/>
      <c r="G206" s="264"/>
      <c r="H206" s="264"/>
      <c r="I206" s="264"/>
      <c r="J206" s="264"/>
      <c r="P206" s="53"/>
      <c r="Q206" s="53"/>
      <c r="R206" s="53"/>
      <c r="S206" s="53"/>
      <c r="T206" s="53"/>
      <c r="U206" s="53"/>
      <c r="V206" s="53"/>
      <c r="W206" s="53"/>
      <c r="X206" s="53"/>
      <c r="Y206" s="53"/>
      <c r="Z206" s="53"/>
    </row>
    <row r="207" spans="1:26" ht="15">
      <c r="A207" s="242"/>
      <c r="B207" s="264"/>
      <c r="C207" s="264"/>
      <c r="D207" s="264"/>
      <c r="E207" s="264"/>
      <c r="F207" s="264"/>
      <c r="G207" s="264"/>
      <c r="H207" s="264"/>
      <c r="I207" s="264"/>
      <c r="J207" s="264"/>
      <c r="P207" s="53"/>
      <c r="Q207" s="53"/>
      <c r="R207" s="53"/>
      <c r="S207" s="53"/>
      <c r="T207" s="53"/>
      <c r="U207" s="53"/>
      <c r="V207" s="53"/>
      <c r="W207" s="53"/>
      <c r="X207" s="53"/>
      <c r="Y207" s="53"/>
      <c r="Z207" s="53"/>
    </row>
    <row r="208" spans="1:26" ht="15">
      <c r="A208" s="242"/>
      <c r="B208" s="264"/>
      <c r="C208" s="264"/>
      <c r="D208" s="264"/>
      <c r="E208" s="264"/>
      <c r="F208" s="264"/>
      <c r="G208" s="264"/>
      <c r="H208" s="264"/>
      <c r="I208" s="264"/>
      <c r="J208" s="264"/>
      <c r="P208" s="53"/>
      <c r="Q208" s="53"/>
      <c r="R208" s="53"/>
      <c r="S208" s="53"/>
      <c r="T208" s="53"/>
      <c r="U208" s="53"/>
      <c r="V208" s="53"/>
      <c r="W208" s="53"/>
      <c r="X208" s="53"/>
      <c r="Y208" s="53"/>
      <c r="Z208" s="53"/>
    </row>
    <row r="209" spans="1:10" ht="15">
      <c r="A209" s="242"/>
      <c r="B209" s="264"/>
      <c r="C209" s="264"/>
      <c r="D209" s="264"/>
      <c r="E209" s="264"/>
      <c r="F209" s="264"/>
      <c r="G209" s="264"/>
      <c r="H209" s="264"/>
      <c r="I209" s="264"/>
      <c r="J209" s="264"/>
    </row>
    <row r="210" spans="1:10" ht="15">
      <c r="A210" s="242"/>
      <c r="B210" s="264"/>
      <c r="C210" s="264"/>
      <c r="D210" s="264"/>
      <c r="E210" s="264"/>
      <c r="F210" s="264"/>
      <c r="G210" s="264"/>
      <c r="H210" s="264"/>
      <c r="I210" s="264"/>
      <c r="J210" s="264"/>
    </row>
    <row r="211" spans="1:10" ht="15">
      <c r="A211" s="242"/>
      <c r="B211" s="264"/>
      <c r="C211" s="264"/>
      <c r="D211" s="264"/>
      <c r="E211" s="264"/>
      <c r="F211" s="264"/>
      <c r="G211" s="264"/>
      <c r="H211" s="264"/>
      <c r="I211" s="264"/>
      <c r="J211" s="264"/>
    </row>
    <row r="212" spans="1:10" ht="15">
      <c r="A212" s="242"/>
      <c r="B212" s="264"/>
      <c r="C212" s="264"/>
      <c r="D212" s="264"/>
      <c r="E212" s="264"/>
      <c r="F212" s="264"/>
      <c r="G212" s="264"/>
      <c r="H212" s="264"/>
      <c r="I212" s="264"/>
      <c r="J212" s="264"/>
    </row>
    <row r="213" spans="1:10" ht="15">
      <c r="A213" s="242"/>
      <c r="B213" s="264"/>
      <c r="C213" s="264"/>
      <c r="D213" s="264"/>
      <c r="E213" s="264"/>
      <c r="F213" s="264"/>
      <c r="G213" s="264"/>
      <c r="H213" s="264"/>
      <c r="I213" s="264"/>
      <c r="J213" s="264"/>
    </row>
    <row r="214" spans="1:10" ht="15.75">
      <c r="A214" s="68"/>
    </row>
    <row r="215" spans="1:10" ht="15.75">
      <c r="A215" s="68"/>
    </row>
    <row r="216" spans="1:10" ht="15.75">
      <c r="A216" s="18"/>
    </row>
    <row r="217" spans="1:10" ht="15.75">
      <c r="A217" s="18"/>
    </row>
    <row r="218" spans="1:10" ht="15.75">
      <c r="A218" s="18"/>
    </row>
    <row r="219" spans="1:10" ht="15.75">
      <c r="A219" s="18"/>
    </row>
    <row r="220" spans="1:10" ht="15.75">
      <c r="A220" s="18"/>
    </row>
    <row r="221" spans="1:10" ht="15.75">
      <c r="A221" s="18"/>
    </row>
    <row r="222" spans="1:10" ht="15.75">
      <c r="A222" s="18"/>
    </row>
    <row r="223" spans="1:10" ht="15.75">
      <c r="A223" s="18"/>
    </row>
    <row r="224" spans="1:10" ht="15.75">
      <c r="A224" s="18"/>
    </row>
    <row r="225" spans="1:1" ht="15.75">
      <c r="A225" s="18"/>
    </row>
    <row r="226" spans="1:1" ht="15.75">
      <c r="A226" s="18"/>
    </row>
    <row r="227" spans="1:1" ht="15.75">
      <c r="A227" s="18"/>
    </row>
    <row r="228" spans="1:1" ht="15.75">
      <c r="A228" s="18"/>
    </row>
    <row r="229" spans="1:1">
      <c r="A229" s="1"/>
    </row>
    <row r="230" spans="1:1">
      <c r="A230" s="1"/>
    </row>
    <row r="231" spans="1:1">
      <c r="A231" s="1"/>
    </row>
    <row r="232" spans="1:1">
      <c r="A232" s="1"/>
    </row>
  </sheetData>
  <sheetProtection password="C420" sheet="1" objects="1" scenarios="1"/>
  <mergeCells count="27">
    <mergeCell ref="B165:D165"/>
    <mergeCell ref="B161:D161"/>
    <mergeCell ref="B5:D5"/>
    <mergeCell ref="O9:P9"/>
    <mergeCell ref="P14:Q14"/>
    <mergeCell ref="L49:R49"/>
    <mergeCell ref="L50:R50"/>
    <mergeCell ref="L51:R51"/>
    <mergeCell ref="L48:R48"/>
    <mergeCell ref="L47:R47"/>
    <mergeCell ref="L46:R46"/>
    <mergeCell ref="B24:D24"/>
    <mergeCell ref="B25:D25"/>
    <mergeCell ref="B26:D26"/>
    <mergeCell ref="K37:M37"/>
    <mergeCell ref="B17:D17"/>
    <mergeCell ref="B21:D21"/>
    <mergeCell ref="B22:D22"/>
    <mergeCell ref="B23:D23"/>
    <mergeCell ref="G1:J1"/>
    <mergeCell ref="B7:C7"/>
    <mergeCell ref="B8:C8"/>
    <mergeCell ref="B14:C14"/>
    <mergeCell ref="B15:C15"/>
    <mergeCell ref="A1:E2"/>
    <mergeCell ref="G2:J2"/>
    <mergeCell ref="B10:D10"/>
  </mergeCells>
  <dataValidations count="2">
    <dataValidation type="list" allowBlank="1" showInputMessage="1" showErrorMessage="1" sqref="E46">
      <formula1>Absorb</formula1>
    </dataValidation>
    <dataValidation showInputMessage="1" showErrorMessage="1" sqref="E26"/>
  </dataValidations>
  <pageMargins left="0.4" right="0.4" top="0.4" bottom="0.4" header="0.41" footer="0.22"/>
  <pageSetup scale="75" fitToWidth="3" fitToHeight="0" orientation="portrait" r:id="rId1"/>
  <headerFooter alignWithMargins="0">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37</vt:i4>
      </vt:variant>
    </vt:vector>
  </HeadingPairs>
  <TitlesOfParts>
    <vt:vector size="52" baseType="lpstr">
      <vt:lpstr>DropDownList</vt:lpstr>
      <vt:lpstr>Intro </vt:lpstr>
      <vt:lpstr>Site Evaluation</vt:lpstr>
      <vt:lpstr>soils</vt:lpstr>
      <vt:lpstr>Site Map</vt:lpstr>
      <vt:lpstr>PercTest</vt:lpstr>
      <vt:lpstr>Trench or Bed</vt:lpstr>
      <vt:lpstr>Mound &lt;1%</vt:lpstr>
      <vt:lpstr>Mound&gt;1%</vt:lpstr>
      <vt:lpstr>AtGrade</vt:lpstr>
      <vt:lpstr>PresDist </vt:lpstr>
      <vt:lpstr>Pump</vt:lpstr>
      <vt:lpstr>Non-Level</vt:lpstr>
      <vt:lpstr>Dosing</vt:lpstr>
      <vt:lpstr>Summary Sheet</vt:lpstr>
      <vt:lpstr>Absorb</vt:lpstr>
      <vt:lpstr>adults</vt:lpstr>
      <vt:lpstr>bedrooms</vt:lpstr>
      <vt:lpstr>children</vt:lpstr>
      <vt:lpstr>Diam</vt:lpstr>
      <vt:lpstr>downslope</vt:lpstr>
      <vt:lpstr>headreq</vt:lpstr>
      <vt:lpstr>llr</vt:lpstr>
      <vt:lpstr>mediabp</vt:lpstr>
      <vt:lpstr>mediabps</vt:lpstr>
      <vt:lpstr>nssf</vt:lpstr>
      <vt:lpstr>Perf</vt:lpstr>
      <vt:lpstr>perfgpm</vt:lpstr>
      <vt:lpstr>piped</vt:lpstr>
      <vt:lpstr>pipedia</vt:lpstr>
      <vt:lpstr>AtGrade!Print_Area</vt:lpstr>
      <vt:lpstr>Dosing!Print_Area</vt:lpstr>
      <vt:lpstr>'Intro '!Print_Area</vt:lpstr>
      <vt:lpstr>'Mound &lt;1%'!Print_Area</vt:lpstr>
      <vt:lpstr>'Mound&gt;1%'!Print_Area</vt:lpstr>
      <vt:lpstr>'Non-Level'!Print_Area</vt:lpstr>
      <vt:lpstr>PercTest!Print_Area</vt:lpstr>
      <vt:lpstr>'PresDist '!Print_Area</vt:lpstr>
      <vt:lpstr>Pump!Print_Area</vt:lpstr>
      <vt:lpstr>'Site Evaluation'!Print_Area</vt:lpstr>
      <vt:lpstr>'Site Map'!Print_Area</vt:lpstr>
      <vt:lpstr>soils!Print_Area</vt:lpstr>
      <vt:lpstr>'Summary Sheet'!Print_Area</vt:lpstr>
      <vt:lpstr>'Trench or Bed'!Print_Area</vt:lpstr>
      <vt:lpstr>septic</vt:lpstr>
      <vt:lpstr>septictank</vt:lpstr>
      <vt:lpstr>slope</vt:lpstr>
      <vt:lpstr>soiltexture</vt:lpstr>
      <vt:lpstr>SSF</vt:lpstr>
      <vt:lpstr>time</vt:lpstr>
      <vt:lpstr>upslope</vt:lpstr>
      <vt:lpstr>vlpipe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Brett</dc:creator>
  <cp:lastModifiedBy>DarrenWilke</cp:lastModifiedBy>
  <cp:lastPrinted>2015-05-13T17:43:35Z</cp:lastPrinted>
  <dcterms:created xsi:type="dcterms:W3CDTF">2014-05-07T16:24:27Z</dcterms:created>
  <dcterms:modified xsi:type="dcterms:W3CDTF">2015-07-15T13:46:07Z</dcterms:modified>
</cp:coreProperties>
</file>